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C:\Users\Pieter Pluimers\Documents\7_VVA-klassenorganisatie\TVF\TVF 2018 rekenmodel\"/>
    </mc:Choice>
  </mc:AlternateContent>
  <xr:revisionPtr revIDLastSave="0" documentId="13_ncr:1_{ABF57BC3-7F94-4B60-92F3-DB62087C9A58}" xr6:coauthVersionLast="32" xr6:coauthVersionMax="32" xr10:uidLastSave="{00000000-0000-0000-0000-000000000000}"/>
  <bookViews>
    <workbookView xWindow="1965" yWindow="0" windowWidth="18180" windowHeight="16335" tabRatio="500" xr2:uid="{00000000-000D-0000-FFFF-FFFF00000000}"/>
  </bookViews>
  <sheets>
    <sheet name="Rekenmodel" sheetId="5" r:id="rId1"/>
    <sheet name="Afkortingen" sheetId="6" r:id="rId2"/>
  </sheets>
  <definedNames>
    <definedName name="_xlnm.Print_Area" localSheetId="0">Rekenmodel!$A$1:$AI$74</definedName>
    <definedName name="AG" localSheetId="0">Rekenmodel!$D$48</definedName>
    <definedName name="AG">#REF!</definedName>
    <definedName name="Am" localSheetId="0">Rekenmodel!$D$73</definedName>
    <definedName name="Am">#REF!</definedName>
    <definedName name="AVV" localSheetId="0">Rekenmodel!$D$52</definedName>
    <definedName name="AVV">#REF!</definedName>
    <definedName name="Awv" localSheetId="0">Rekenmodel!$D$75</definedName>
    <definedName name="Awv">#REF!</definedName>
    <definedName name="B" localSheetId="0">Rekenmodel!#REF!</definedName>
    <definedName name="B">#REF!</definedName>
    <definedName name="BM">Rekenmodel!#REF!</definedName>
    <definedName name="BW" localSheetId="0">Rekenmodel!$D$71</definedName>
    <definedName name="BW">#REF!</definedName>
    <definedName name="BWL" localSheetId="0">Rekenmodel!$J$13</definedName>
    <definedName name="BWL">#REF!</definedName>
    <definedName name="Cb" localSheetId="0">Rekenmodel!#REF!</definedName>
    <definedName name="Cb">#REF!</definedName>
    <definedName name="Cp" localSheetId="0">Rekenmodel!$D$72</definedName>
    <definedName name="Cp">#REF!</definedName>
    <definedName name="CS" localSheetId="0">Rekenmodel!$Y$11</definedName>
    <definedName name="CS">#REF!</definedName>
    <definedName name="CW">Rekenmodel!$Y$9</definedName>
    <definedName name="Cwv" localSheetId="0">Rekenmodel!$D$74</definedName>
    <definedName name="Cwv">#REF!</definedName>
    <definedName name="D" localSheetId="0">Rekenmodel!$D$41</definedName>
    <definedName name="D">#REF!</definedName>
    <definedName name="DC" localSheetId="0">Rekenmodel!$T$13</definedName>
    <definedName name="DC">#REF!</definedName>
    <definedName name="DS" localSheetId="0">Rekenmodel!$Y$10</definedName>
    <definedName name="DS">#REF!</definedName>
    <definedName name="FAL" localSheetId="0">Rekenmodel!$N$20</definedName>
    <definedName name="FAL">#REF!</definedName>
    <definedName name="FALmin" localSheetId="0">Rekenmodel!$D$38</definedName>
    <definedName name="FALmin">#REF!</definedName>
    <definedName name="FG" localSheetId="0">Rekenmodel!$D$28</definedName>
    <definedName name="FG">#REF!</definedName>
    <definedName name="FGH" localSheetId="0">Rekenmodel!$D$45</definedName>
    <definedName name="FGH">#REF!</definedName>
    <definedName name="FGO" localSheetId="0">Rekenmodel!$D$46</definedName>
    <definedName name="FGO">#REF!</definedName>
    <definedName name="FH" localSheetId="0">Rekenmodel!$N$58</definedName>
    <definedName name="FH">#REF!</definedName>
    <definedName name="FHL">Rekenmodel!$T$58</definedName>
    <definedName name="FHM">Rekenmodel!$Y$58</definedName>
    <definedName name="FHZ">Rekenmodel!$AD$58</definedName>
    <definedName name="FOL" localSheetId="0">Rekenmodel!$N$21</definedName>
    <definedName name="FOL">#REF!</definedName>
    <definedName name="FOZ" localSheetId="0">Rekenmodel!$D$62</definedName>
    <definedName name="FOZ">#REF!</definedName>
    <definedName name="FRV" localSheetId="0">Rekenmodel!$AD$28</definedName>
    <definedName name="FRV">#REF!</definedName>
    <definedName name="FRVL" localSheetId="0">Rekenmodel!$AD$29</definedName>
    <definedName name="FRVL">#REF!</definedName>
    <definedName name="FRVM" localSheetId="0">Rekenmodel!$AD$30</definedName>
    <definedName name="FRVM">#REF!</definedName>
    <definedName name="FRVZ" localSheetId="0">Rekenmodel!$AD$31</definedName>
    <definedName name="FRVZ">#REF!</definedName>
    <definedName name="FS" localSheetId="0">Rekenmodel!$AD$26</definedName>
    <definedName name="FS">#REF!</definedName>
    <definedName name="FV" localSheetId="0">Rekenmodel!$AD$21</definedName>
    <definedName name="FV">#REF!</definedName>
    <definedName name="FVH" localSheetId="0">Rekenmodel!$D$50</definedName>
    <definedName name="FVH">#REF!</definedName>
    <definedName name="FVL" localSheetId="0">Rekenmodel!$N$19</definedName>
    <definedName name="FVL">#REF!</definedName>
    <definedName name="FVO" localSheetId="0">Rekenmodel!$D$49</definedName>
    <definedName name="FVO">#REF!</definedName>
    <definedName name="FZD" localSheetId="0">Rekenmodel!$N$38</definedName>
    <definedName name="FZD">#REF!</definedName>
    <definedName name="FZDL" localSheetId="0">Rekenmodel!$T$38</definedName>
    <definedName name="FZDL">#REF!</definedName>
    <definedName name="FZDM" localSheetId="0">Rekenmodel!$Y$38</definedName>
    <definedName name="FZDM">#REF!</definedName>
    <definedName name="FZDZ" localSheetId="0">Rekenmodel!$AD$38</definedName>
    <definedName name="FZDZ">#REF!</definedName>
    <definedName name="FZDZ_z">Rekenmodel!$AD$63</definedName>
    <definedName name="FZDZV">Rekenmodel!$AD$63</definedName>
    <definedName name="FZDZz">Rekenmodel!$AD$63</definedName>
    <definedName name="FZN" localSheetId="0">Rekenmodel!$N$46</definedName>
    <definedName name="FZN">#REF!</definedName>
    <definedName name="FZNL" localSheetId="0">Rekenmodel!$T$46</definedName>
    <definedName name="FZNL">#REF!</definedName>
    <definedName name="FZNM" localSheetId="0">Rekenmodel!$Y$46</definedName>
    <definedName name="FZNM">#REF!</definedName>
    <definedName name="FZNZ" localSheetId="0">Rekenmodel!$AD$46</definedName>
    <definedName name="FZNZ">#REF!</definedName>
    <definedName name="FZV" localSheetId="0">Rekenmodel!$N$42</definedName>
    <definedName name="FZV">#REF!</definedName>
    <definedName name="FZVL" localSheetId="0">Rekenmodel!$T$42</definedName>
    <definedName name="FZVL">#REF!</definedName>
    <definedName name="FZVM" localSheetId="0">Rekenmodel!$Y$42</definedName>
    <definedName name="FZVM">#REF!</definedName>
    <definedName name="FZVZ" localSheetId="0">Rekenmodel!$AD$42</definedName>
    <definedName name="FZVZ">#REF!</definedName>
    <definedName name="GAL" localSheetId="0">Rekenmodel!$D$24</definedName>
    <definedName name="GAL">#REF!</definedName>
    <definedName name="GBL" localSheetId="0">Rekenmodel!$D$19</definedName>
    <definedName name="GBL">#REF!</definedName>
    <definedName name="GBP" localSheetId="0">Rekenmodel!$D$20</definedName>
    <definedName name="GBP">#REF!</definedName>
    <definedName name="GDK" localSheetId="0">Rekenmodel!$D$26</definedName>
    <definedName name="GDK">#REF!</definedName>
    <definedName name="GDT" localSheetId="0">Rekenmodel!$D$25</definedName>
    <definedName name="GDT">#REF!</definedName>
    <definedName name="GOL" localSheetId="0">Rekenmodel!$D$22</definedName>
    <definedName name="GOL">#REF!</definedName>
    <definedName name="GOZ" localSheetId="0">Rekenmodel!$AD$18</definedName>
    <definedName name="GOZ">#REF!</definedName>
    <definedName name="GOZmin" localSheetId="0">Rekenmodel!$AF$18</definedName>
    <definedName name="GOZmin">#REF!</definedName>
    <definedName name="GPB">Rekenmodel!$D$20</definedName>
    <definedName name="GPO" localSheetId="0">Rekenmodel!$D$23</definedName>
    <definedName name="GPO">#REF!</definedName>
    <definedName name="GVL" localSheetId="0">Rekenmodel!$D$21</definedName>
    <definedName name="GVL">#REF!</definedName>
    <definedName name="GVLmin1">Rekenmodel!$D$36</definedName>
    <definedName name="GVLmin2" localSheetId="0">Rekenmodel!$D$37</definedName>
    <definedName name="GVLmin2">#REF!</definedName>
    <definedName name="GZV">Rekenmodel!$D$59</definedName>
    <definedName name="GZVmin" localSheetId="0">Rekenmodel!$D$63</definedName>
    <definedName name="GZVmin">#REF!</definedName>
    <definedName name="HA" localSheetId="0">Rekenmodel!$D$55</definedName>
    <definedName name="HA">#REF!</definedName>
    <definedName name="HBH" localSheetId="0">Rekenmodel!$N$27</definedName>
    <definedName name="HBH">#REF!</definedName>
    <definedName name="HOL" localSheetId="0">Rekenmodel!$N$26</definedName>
    <definedName name="HOL">#REF!</definedName>
    <definedName name="HVL" localSheetId="0">Rekenmodel!$N$25</definedName>
    <definedName name="HVL">#REF!</definedName>
    <definedName name="IZ" localSheetId="0">Rekenmodel!$AD$10</definedName>
    <definedName name="IZ">#REF!</definedName>
    <definedName name="J" localSheetId="0">Rekenmodel!$AD$11</definedName>
    <definedName name="J">#REF!</definedName>
    <definedName name="KHL" localSheetId="0">Rekenmodel!$Y$20</definedName>
    <definedName name="KHL">#REF!</definedName>
    <definedName name="KL" localSheetId="0">Rekenmodel!$D$57</definedName>
    <definedName name="KL">#REF!</definedName>
    <definedName name="KLB" localSheetId="0">Rekenmodel!$AD$12</definedName>
    <definedName name="KLB">#REF!</definedName>
    <definedName name="KVL" localSheetId="0">Rekenmodel!$Y$19</definedName>
    <definedName name="KVL">#REF!</definedName>
    <definedName name="L" localSheetId="0">Rekenmodel!$D$10</definedName>
    <definedName name="L">#REF!</definedName>
    <definedName name="LE" localSheetId="0">Rekenmodel!$AD$27</definedName>
    <definedName name="LE">#REF!</definedName>
    <definedName name="LEL">Rekenmodel!$T$36</definedName>
    <definedName name="LEM">Rekenmodel!$Y$36</definedName>
    <definedName name="LEZ">Rekenmodel!$AD$36</definedName>
    <definedName name="LOA" localSheetId="0">Rekenmodel!$D$9</definedName>
    <definedName name="LOA">#REF!</definedName>
    <definedName name="LR" localSheetId="0">Rekenmodel!$D$12</definedName>
    <definedName name="LR">#REF!</definedName>
    <definedName name="LWL" localSheetId="0">Rekenmodel!$D$11</definedName>
    <definedName name="LWL">#REF!</definedName>
    <definedName name="MG" localSheetId="0">Rekenmodel!$D$27</definedName>
    <definedName name="MG">#REF!</definedName>
    <definedName name="MGK">Rekenmodel!$D$43</definedName>
    <definedName name="MGT">Rekenmodel!$D$44</definedName>
    <definedName name="MH" localSheetId="0">Rekenmodel!$D$66</definedName>
    <definedName name="MH">#REF!</definedName>
    <definedName name="MK" localSheetId="0">Rekenmodel!$D$56</definedName>
    <definedName name="MK">#REF!</definedName>
    <definedName name="MV" localSheetId="0">Rekenmodel!$AD$22</definedName>
    <definedName name="MV">#REF!</definedName>
    <definedName name="MV_MK" localSheetId="0">Rekenmodel!$D$68</definedName>
    <definedName name="MV_MK">#REF!</definedName>
    <definedName name="NO" localSheetId="0">Rekenmodel!$T$12</definedName>
    <definedName name="NO">#REF!</definedName>
    <definedName name="OA" localSheetId="0">Rekenmodel!$J$12</definedName>
    <definedName name="OA">#REF!</definedName>
    <definedName name="OV" localSheetId="0">Rekenmodel!$J$11</definedName>
    <definedName name="OV">#REF!</definedName>
    <definedName name="OZ" localSheetId="0">Rekenmodel!$AD$19</definedName>
    <definedName name="OZ">#REF!</definedName>
    <definedName name="OZ_z">Rekenmodel!$AD$71</definedName>
    <definedName name="OZL">Rekenmodel!$T$57</definedName>
    <definedName name="OZM">Rekenmodel!$Y$57</definedName>
    <definedName name="OZV">Rekenmodel!$AD$71</definedName>
    <definedName name="OZZ">Rekenmodel!$AD$57</definedName>
    <definedName name="OZZz">Rekenmodel!#REF!</definedName>
    <definedName name="PG" localSheetId="0">Rekenmodel!$D$29</definedName>
    <definedName name="PG">#REF!</definedName>
    <definedName name="PV" localSheetId="0">Rekenmodel!$D$53</definedName>
    <definedName name="PV">#REF!</definedName>
    <definedName name="RA">Rekenmodel!$AD$24</definedName>
    <definedName name="RG" localSheetId="0">Rekenmodel!$D$47</definedName>
    <definedName name="RG">#REF!</definedName>
    <definedName name="RL" localSheetId="0">Rekenmodel!$T$55</definedName>
    <definedName name="RL">#REF!</definedName>
    <definedName name="RL_z">Rekenmodel!$T$69</definedName>
    <definedName name="RM" localSheetId="0">Rekenmodel!$D$13</definedName>
    <definedName name="RM">#REF!</definedName>
    <definedName name="RM_z">Rekenmodel!$Y$69</definedName>
    <definedName name="RMeen" localSheetId="0">Rekenmodel!$D$13</definedName>
    <definedName name="RMeen">#REF!</definedName>
    <definedName name="RMM" localSheetId="0">Rekenmodel!$Y$55</definedName>
    <definedName name="RMM">#REF!</definedName>
    <definedName name="RV" localSheetId="0">Rekenmodel!$D$51</definedName>
    <definedName name="RV">#REF!</definedName>
    <definedName name="RVromp" localSheetId="0">Rekenmodel!#REF!</definedName>
    <definedName name="RVromp">#REF!</definedName>
    <definedName name="RVrompL" localSheetId="0">Rekenmodel!#REF!</definedName>
    <definedName name="RVrompL">#REF!</definedName>
    <definedName name="RVrompM" localSheetId="0">Rekenmodel!#REF!</definedName>
    <definedName name="RVrompM">#REF!</definedName>
    <definedName name="RVrompZ" localSheetId="0">Rekenmodel!#REF!</definedName>
    <definedName name="RVrompZ">#REF!</definedName>
    <definedName name="RVS" localSheetId="0">Rekenmodel!$N$53</definedName>
    <definedName name="RVS">#REF!</definedName>
    <definedName name="RVSL" localSheetId="0">Rekenmodel!$T$53</definedName>
    <definedName name="RVSL">#REF!</definedName>
    <definedName name="RVSM" localSheetId="0">Rekenmodel!$Y$53</definedName>
    <definedName name="RVSM">#REF!</definedName>
    <definedName name="RVSZ" localSheetId="0">Rekenmodel!$AD$53</definedName>
    <definedName name="RVSZ">#REF!</definedName>
    <definedName name="RZ" localSheetId="0">Rekenmodel!$AD$55</definedName>
    <definedName name="RZ">#REF!</definedName>
    <definedName name="RZ_z">Rekenmodel!$AD$69</definedName>
    <definedName name="S">Rekenmodel!$D$70</definedName>
    <definedName name="SGmin" localSheetId="0">Rekenmodel!$D$64</definedName>
    <definedName name="SGmin">#REF!</definedName>
    <definedName name="SLG" localSheetId="0">Rekenmodel!$D$58</definedName>
    <definedName name="SLG">#REF!</definedName>
    <definedName name="SLGee" localSheetId="0">Rekenmodel!#REF!</definedName>
    <definedName name="SLGee">#REF!</definedName>
    <definedName name="SLGeen" localSheetId="0">Rekenmodel!$D$39</definedName>
    <definedName name="SLGeen">#REF!</definedName>
    <definedName name="SLGmin" localSheetId="0">Rekenmodel!$D$40</definedName>
    <definedName name="SLGmin">#REF!</definedName>
    <definedName name="TC" localSheetId="0">Rekenmodel!$T$11</definedName>
    <definedName name="TC">#REF!</definedName>
    <definedName name="TH" localSheetId="0">Rekenmodel!$AD$25</definedName>
    <definedName name="TH">#REF!</definedName>
    <definedName name="TH\">Rekenmodel!#REF!</definedName>
    <definedName name="THL">Rekenmodel!$T$43</definedName>
    <definedName name="THLS">Rekenmodel!$T$44</definedName>
    <definedName name="THM">Rekenmodel!$Y$43</definedName>
    <definedName name="THS" localSheetId="0">Rekenmodel!$N$44</definedName>
    <definedName name="THS">#REF!</definedName>
    <definedName name="THSL" localSheetId="0">Rekenmodel!$T$44</definedName>
    <definedName name="THSL">#REF!</definedName>
    <definedName name="THSM" localSheetId="0">Rekenmodel!$Y$44</definedName>
    <definedName name="THSM">#REF!</definedName>
    <definedName name="THSZ" localSheetId="0">Rekenmodel!$AD$44</definedName>
    <definedName name="THSZ">#REF!</definedName>
    <definedName name="THZ">Rekenmodel!$AD$43</definedName>
    <definedName name="TP" localSheetId="0">Rekenmodel!$N$22</definedName>
    <definedName name="TP">#REF!</definedName>
    <definedName name="TV" localSheetId="0">Rekenmodel!$AD$20</definedName>
    <definedName name="TV">#REF!</definedName>
    <definedName name="TVF">Rekenmodel!#REF!</definedName>
    <definedName name="TVFL">Rekenmodel!$R$6</definedName>
    <definedName name="TVFM">Rekenmodel!$U$6</definedName>
    <definedName name="TVFZ">Rekenmodel!$Y$6</definedName>
    <definedName name="VBA" localSheetId="0">Rekenmodel!$J$10</definedName>
    <definedName name="VBA">#REF!</definedName>
    <definedName name="VBV" localSheetId="0">Rekenmodel!$J$9</definedName>
    <definedName name="VBV">#REF!</definedName>
    <definedName name="werr" localSheetId="0">Rekenmodel!#REF!</definedName>
    <definedName name="werr">#REF!</definedName>
    <definedName name="Y" localSheetId="0">Rekenmodel!#REF!</definedName>
    <definedName name="Y">#REF!</definedName>
    <definedName name="YU" localSheetId="0">Rekenmodel!#REF!</definedName>
    <definedName name="YU">#REF!</definedName>
    <definedName name="Z_D833AB8F_9EBD_4397_BB38_BA2F376A880C_.wvu.PrintArea" localSheetId="0" hidden="1">Rekenmodel!$A$1:$AI$74</definedName>
    <definedName name="ZD" localSheetId="0">Rekenmodel!$N$39</definedName>
    <definedName name="ZD">#REF!</definedName>
    <definedName name="ZD_z">Rekenmodel!$N$64</definedName>
    <definedName name="ZDL">Rekenmodel!$T$39</definedName>
    <definedName name="ZDL_z">Rekenmodel!#REF!</definedName>
    <definedName name="ZDM">Rekenmodel!$Y$39</definedName>
    <definedName name="ZDM_z">Rekenmodel!#REF!</definedName>
    <definedName name="ZDS" localSheetId="0">Rekenmodel!$N$40</definedName>
    <definedName name="ZDS">#REF!</definedName>
    <definedName name="ZDSL" localSheetId="0">Rekenmodel!$T$40</definedName>
    <definedName name="ZDSL">#REF!</definedName>
    <definedName name="ZDSM" localSheetId="0">Rekenmodel!$Y$40</definedName>
    <definedName name="ZDSM">#REF!</definedName>
    <definedName name="ZDSZ" localSheetId="0">Rekenmodel!$AD$40</definedName>
    <definedName name="ZDSZ">#REF!</definedName>
    <definedName name="ZDZ">Rekenmodel!$AD$39</definedName>
    <definedName name="ZDZ_z">Rekenmodel!#REF!</definedName>
    <definedName name="ZDZ1">Rekenmodel!#REF!</definedName>
    <definedName name="ZDZV">Rekenmodel!#REF!</definedName>
    <definedName name="ZDZz">Rekenmodel!#REF!</definedName>
    <definedName name="ZN" localSheetId="0">Rekenmodel!$N$47</definedName>
    <definedName name="ZN">#REF!</definedName>
    <definedName name="ZN_z">Rekenmodel!$N$67</definedName>
    <definedName name="ZNL">Rekenmodel!$T$47</definedName>
    <definedName name="ZNL_z">Rekenmodel!$T$67</definedName>
    <definedName name="ZNM">Rekenmodel!$Y$47</definedName>
    <definedName name="ZNM_z">Rekenmodel!$Y$67</definedName>
    <definedName name="ZNS" localSheetId="0">Rekenmodel!$N$48</definedName>
    <definedName name="ZNS">#REF!</definedName>
    <definedName name="ZNSL" localSheetId="0">Rekenmodel!$T$48</definedName>
    <definedName name="ZNSL">#REF!</definedName>
    <definedName name="ZNSM" localSheetId="0">Rekenmodel!$Y$48</definedName>
    <definedName name="ZNSM">#REF!</definedName>
    <definedName name="ZNSZ" localSheetId="0">Rekenmodel!$AD$48</definedName>
    <definedName name="ZNSZ">#REF!</definedName>
    <definedName name="ZNZ">Rekenmodel!$AD$47</definedName>
    <definedName name="ZNZ_z">Rekenmodel!$AD$67</definedName>
  </definedNames>
  <calcPr calcId="179017" iterateDelta="1E-4" concurrentCalc="0"/>
  <customWorkbookViews>
    <customWorkbookView name="pp" guid="{D833AB8F-9EBD-4397-BB38-BA2F376A880C}" maximized="1" windowWidth="1916" windowHeight="855" tabRatio="500" activeSheetId="5"/>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37" i="5" l="1"/>
  <c r="D45" i="5"/>
  <c r="D43" i="5"/>
  <c r="D44" i="5"/>
  <c r="D27" i="5"/>
  <c r="D48" i="5"/>
  <c r="D47" i="5"/>
  <c r="D28" i="5"/>
  <c r="D64" i="5"/>
  <c r="D11" i="5"/>
  <c r="D39" i="5"/>
  <c r="D40" i="5"/>
  <c r="D41" i="5"/>
  <c r="D58" i="5"/>
  <c r="D63" i="5"/>
  <c r="AF18" i="5"/>
  <c r="AD22" i="5"/>
  <c r="D56" i="5"/>
  <c r="AD18" i="5"/>
  <c r="D62" i="5"/>
  <c r="D46" i="5"/>
  <c r="D29" i="5"/>
  <c r="D38" i="5"/>
  <c r="D50" i="5"/>
  <c r="D52" i="5"/>
  <c r="D51" i="5"/>
  <c r="AD21" i="5"/>
  <c r="D49" i="5"/>
  <c r="D53" i="5"/>
  <c r="D57" i="5"/>
  <c r="AD20" i="5"/>
  <c r="D68" i="5"/>
  <c r="D66" i="5"/>
  <c r="AD58" i="5"/>
  <c r="AD57" i="5"/>
  <c r="AD47" i="5"/>
  <c r="AD46" i="5"/>
  <c r="D55" i="5"/>
  <c r="AD43" i="5"/>
  <c r="AD42" i="5"/>
  <c r="AD39" i="5"/>
  <c r="AD38" i="5"/>
  <c r="AD36" i="5"/>
  <c r="AD71" i="5"/>
  <c r="AD67" i="5"/>
  <c r="AD66" i="5"/>
  <c r="N64" i="5"/>
  <c r="AD63" i="5"/>
  <c r="AD26" i="5"/>
  <c r="AD55" i="5"/>
  <c r="Y6" i="5"/>
  <c r="AD27" i="5"/>
  <c r="N58" i="5"/>
  <c r="AD19" i="5"/>
  <c r="N39" i="5"/>
  <c r="N38" i="5"/>
  <c r="AD25" i="5"/>
  <c r="N42" i="5"/>
  <c r="N47" i="5"/>
  <c r="N46" i="5"/>
  <c r="AD24" i="5"/>
  <c r="M6" i="5"/>
  <c r="N62" i="5"/>
  <c r="N63" i="5"/>
  <c r="N65" i="5"/>
  <c r="N67" i="5"/>
  <c r="N66" i="5"/>
  <c r="N68" i="5"/>
  <c r="N69" i="5"/>
  <c r="M5" i="5"/>
  <c r="T63" i="5"/>
  <c r="T43" i="5"/>
  <c r="T42" i="5"/>
  <c r="T67" i="5"/>
  <c r="T66" i="5"/>
  <c r="T62" i="5"/>
  <c r="T69" i="5"/>
  <c r="R5" i="5"/>
  <c r="AD62" i="5"/>
  <c r="AD69" i="5"/>
  <c r="Y5" i="5"/>
  <c r="Y67" i="5"/>
  <c r="Y66" i="5"/>
  <c r="Y63" i="5"/>
  <c r="Y62" i="5"/>
  <c r="Y58" i="5"/>
  <c r="Y57" i="5"/>
  <c r="Y47" i="5"/>
  <c r="Y46" i="5"/>
  <c r="Y43" i="5"/>
  <c r="Y42" i="5"/>
  <c r="Y39" i="5"/>
  <c r="Y38" i="5"/>
  <c r="Y36" i="5"/>
  <c r="Y69" i="5"/>
  <c r="U5" i="5"/>
  <c r="Y55" i="5"/>
  <c r="U6" i="5"/>
  <c r="T58" i="5"/>
  <c r="T57" i="5"/>
  <c r="T39" i="5"/>
  <c r="T38" i="5"/>
  <c r="T47" i="5"/>
  <c r="T46" i="5"/>
  <c r="T36" i="5"/>
  <c r="T55" i="5"/>
  <c r="R6" i="5"/>
  <c r="H22" i="5"/>
  <c r="R30" i="5"/>
  <c r="R27" i="5"/>
  <c r="P27" i="5"/>
  <c r="N11" i="5"/>
  <c r="N12" i="5"/>
  <c r="N13" i="5"/>
  <c r="L13" i="5"/>
  <c r="L12" i="5"/>
  <c r="L11" i="5"/>
  <c r="H20" i="5"/>
  <c r="F20" i="5"/>
  <c r="D36" i="5"/>
  <c r="H21" i="5"/>
  <c r="H19" i="5"/>
  <c r="AH9" i="5"/>
  <c r="AH10" i="5"/>
  <c r="AH13" i="5"/>
  <c r="R20" i="5"/>
  <c r="R22" i="5"/>
  <c r="R26" i="5"/>
  <c r="R25" i="5"/>
  <c r="D70" i="5"/>
  <c r="D30" i="5"/>
  <c r="W13" i="5"/>
  <c r="Y68" i="5"/>
  <c r="AH18" i="5"/>
  <c r="T71" i="5"/>
  <c r="N36" i="5"/>
  <c r="AD52" i="5"/>
  <c r="Y52" i="5"/>
  <c r="T52" i="5"/>
  <c r="N52" i="5"/>
  <c r="N57" i="5"/>
  <c r="N55" i="5"/>
  <c r="AD50" i="5"/>
  <c r="Y50" i="5"/>
  <c r="T50" i="5"/>
  <c r="N50" i="5"/>
  <c r="N43" i="5"/>
  <c r="T65" i="5"/>
  <c r="T68" i="5"/>
  <c r="Y65" i="5"/>
  <c r="Y71" i="5"/>
  <c r="AD68" i="5"/>
  <c r="AD65" i="5"/>
  <c r="AH19" i="5"/>
  <c r="R15" i="5"/>
  <c r="F15" i="5"/>
  <c r="D67" i="5"/>
  <c r="D42" i="5"/>
  <c r="D59" i="5"/>
  <c r="D60" i="5"/>
  <c r="AD23" i="5"/>
</calcChain>
</file>

<file path=xl/sharedStrings.xml><?xml version="1.0" encoding="utf-8"?>
<sst xmlns="http://schemas.openxmlformats.org/spreadsheetml/2006/main" count="555" uniqueCount="263">
  <si>
    <t>LOA</t>
  </si>
  <si>
    <t>L</t>
  </si>
  <si>
    <t>LWL</t>
  </si>
  <si>
    <t>VBV</t>
  </si>
  <si>
    <t>RM1</t>
  </si>
  <si>
    <t>NO</t>
  </si>
  <si>
    <t>:</t>
  </si>
  <si>
    <t>BWL</t>
  </si>
  <si>
    <t>OV</t>
  </si>
  <si>
    <t>OA</t>
  </si>
  <si>
    <t>VBA</t>
  </si>
  <si>
    <t>TC</t>
  </si>
  <si>
    <t>TH</t>
  </si>
  <si>
    <t>D1</t>
  </si>
  <si>
    <t>D2</t>
  </si>
  <si>
    <t>LR</t>
  </si>
  <si>
    <t>LE</t>
  </si>
  <si>
    <t>FRV</t>
  </si>
  <si>
    <t>FRVL</t>
  </si>
  <si>
    <t>DC</t>
  </si>
  <si>
    <t>CW</t>
  </si>
  <si>
    <t>R</t>
  </si>
  <si>
    <t>FRVM</t>
  </si>
  <si>
    <t>DS</t>
  </si>
  <si>
    <t>CS</t>
  </si>
  <si>
    <t>FS</t>
  </si>
  <si>
    <t xml:space="preserve">Max. Afwijking gewicht = </t>
  </si>
  <si>
    <t>kg</t>
  </si>
  <si>
    <t>Grootzeil:</t>
  </si>
  <si>
    <t>Klauwhoek</t>
  </si>
  <si>
    <t>IZ</t>
  </si>
  <si>
    <t>J</t>
  </si>
  <si>
    <t>/</t>
  </si>
  <si>
    <t>min</t>
  </si>
  <si>
    <t>FZD</t>
  </si>
  <si>
    <t>ZD</t>
  </si>
  <si>
    <t>ZDS</t>
  </si>
  <si>
    <t>OZ</t>
  </si>
  <si>
    <t>PG</t>
  </si>
  <si>
    <t>FH</t>
  </si>
  <si>
    <t>TV</t>
  </si>
  <si>
    <t>D</t>
  </si>
  <si>
    <t>FG</t>
  </si>
  <si>
    <t>FGO</t>
  </si>
  <si>
    <t>MG</t>
  </si>
  <si>
    <t>RG</t>
  </si>
  <si>
    <t>AG</t>
  </si>
  <si>
    <t>FGH</t>
  </si>
  <si>
    <t>GDT</t>
  </si>
  <si>
    <t>GVL</t>
  </si>
  <si>
    <t>GAL</t>
  </si>
  <si>
    <t>GBL</t>
  </si>
  <si>
    <t>GOL</t>
  </si>
  <si>
    <t>GVLmin2</t>
  </si>
  <si>
    <t>KL</t>
  </si>
  <si>
    <t>GOZ</t>
  </si>
  <si>
    <t>FOL</t>
  </si>
  <si>
    <t>FVL</t>
  </si>
  <si>
    <t>FAL</t>
  </si>
  <si>
    <t>KVL</t>
  </si>
  <si>
    <t>KHL</t>
  </si>
  <si>
    <t>MV</t>
  </si>
  <si>
    <t>FV</t>
  </si>
  <si>
    <t>GPO</t>
  </si>
  <si>
    <t>GDK</t>
  </si>
  <si>
    <t>TP</t>
  </si>
  <si>
    <t>HOL</t>
  </si>
  <si>
    <t>HBH</t>
  </si>
  <si>
    <t>HVL</t>
  </si>
  <si>
    <t>RV</t>
  </si>
  <si>
    <t>AVV</t>
  </si>
  <si>
    <t>MK</t>
  </si>
  <si>
    <t>SLG</t>
  </si>
  <si>
    <t>SLGmin</t>
  </si>
  <si>
    <t>GZVmin</t>
  </si>
  <si>
    <t>SGmin</t>
  </si>
  <si>
    <t>FOZ</t>
  </si>
  <si>
    <t>MV+MK</t>
  </si>
  <si>
    <t>KLB</t>
  </si>
  <si>
    <t>MH</t>
  </si>
  <si>
    <t>FVO</t>
  </si>
  <si>
    <t>FALmin</t>
  </si>
  <si>
    <t>FVH</t>
  </si>
  <si>
    <t>PV</t>
  </si>
  <si>
    <t>FZV</t>
  </si>
  <si>
    <t>THS</t>
  </si>
  <si>
    <t>HA</t>
  </si>
  <si>
    <t>ZN</t>
  </si>
  <si>
    <t>ZNS</t>
  </si>
  <si>
    <t>FZN</t>
  </si>
  <si>
    <t>RVS</t>
  </si>
  <si>
    <t>FRVZ</t>
  </si>
  <si>
    <t>FZDL</t>
  </si>
  <si>
    <t>ZDSL</t>
  </si>
  <si>
    <t>FZVL</t>
  </si>
  <si>
    <t>FZNL</t>
  </si>
  <si>
    <t>ZNSL</t>
  </si>
  <si>
    <t>RVSL</t>
  </si>
  <si>
    <t>FZDM</t>
  </si>
  <si>
    <t>ZDSM</t>
  </si>
  <si>
    <t>FZVM</t>
  </si>
  <si>
    <t>THSM</t>
  </si>
  <si>
    <t>FZNM</t>
  </si>
  <si>
    <t>ZNSM</t>
  </si>
  <si>
    <t>RVSM</t>
  </si>
  <si>
    <t>RL</t>
  </si>
  <si>
    <t>ZDSZ</t>
  </si>
  <si>
    <t>FZDZ</t>
  </si>
  <si>
    <t>FZVZ</t>
  </si>
  <si>
    <t>THSZ</t>
  </si>
  <si>
    <t>FZNZ</t>
  </si>
  <si>
    <t>ZNSZ</t>
  </si>
  <si>
    <t>RVSZ</t>
  </si>
  <si>
    <t>RZ</t>
  </si>
  <si>
    <t>Max. Trim =0,10% LWL =</t>
  </si>
  <si>
    <t>SLG1</t>
  </si>
  <si>
    <t>GZV</t>
  </si>
  <si>
    <t>SG</t>
  </si>
  <si>
    <t>GM</t>
  </si>
  <si>
    <t>GVLmin1</t>
  </si>
  <si>
    <t>RM</t>
  </si>
  <si>
    <t>MGK</t>
  </si>
  <si>
    <t>MGT</t>
  </si>
  <si>
    <t>OBW</t>
  </si>
  <si>
    <t>2.4*(MV+MK)</t>
  </si>
  <si>
    <t>GPB</t>
  </si>
  <si>
    <t>mm</t>
  </si>
  <si>
    <t>TVF licht</t>
  </si>
  <si>
    <t>LEL</t>
  </si>
  <si>
    <t>THL</t>
  </si>
  <si>
    <t>TVF midden</t>
  </si>
  <si>
    <t>LEM</t>
  </si>
  <si>
    <t>THM</t>
  </si>
  <si>
    <t>THZ</t>
  </si>
  <si>
    <t>ZNL</t>
  </si>
  <si>
    <t>FHL</t>
  </si>
  <si>
    <t>FHM</t>
  </si>
  <si>
    <t>ZNM</t>
  </si>
  <si>
    <t>ZNZ</t>
  </si>
  <si>
    <t>FHZ</t>
  </si>
  <si>
    <t>OZZ</t>
  </si>
  <si>
    <t>OZM</t>
  </si>
  <si>
    <t>OZL</t>
  </si>
  <si>
    <t>RLzh</t>
  </si>
  <si>
    <t>RMzh</t>
  </si>
  <si>
    <t>RZzh</t>
  </si>
  <si>
    <t>Rzh</t>
  </si>
  <si>
    <t>LEZ</t>
  </si>
  <si>
    <t>ZDL</t>
  </si>
  <si>
    <t>THSL</t>
  </si>
  <si>
    <t>ZDM</t>
  </si>
  <si>
    <t>ZDZ</t>
  </si>
  <si>
    <t>TVF algemeen</t>
  </si>
  <si>
    <t>OZZz</t>
  </si>
  <si>
    <t>FHz</t>
  </si>
  <si>
    <t>FZDZ_z</t>
  </si>
  <si>
    <t>ZN_z</t>
  </si>
  <si>
    <t>ZD_z</t>
  </si>
  <si>
    <t>max</t>
  </si>
  <si>
    <t>HWB</t>
  </si>
  <si>
    <t>Invoergegevens romp, rondhout en schroef (maten in meters)</t>
  </si>
  <si>
    <t>Mast uit st.</t>
  </si>
  <si>
    <t>Invoer zeilafmetingen (maten in meters)</t>
  </si>
  <si>
    <t>Fok:</t>
  </si>
  <si>
    <t>Kluiver:</t>
  </si>
  <si>
    <t>Halfwinder:</t>
  </si>
  <si>
    <t>Ozz</t>
  </si>
  <si>
    <t>Broodwinner:</t>
  </si>
  <si>
    <t>TVF zwaar</t>
  </si>
  <si>
    <t>Berekende waarden:</t>
  </si>
  <si>
    <t>TVF licht zonder HW</t>
  </si>
  <si>
    <t>TVF midden zonder HW</t>
  </si>
  <si>
    <t>TVF zwaar zonder HW</t>
  </si>
  <si>
    <t>OZZm</t>
  </si>
  <si>
    <t>FHm</t>
  </si>
  <si>
    <t>OZZl</t>
  </si>
  <si>
    <t>FHl</t>
  </si>
  <si>
    <t>zwaar:</t>
  </si>
  <si>
    <t>middel:</t>
  </si>
  <si>
    <t>licht:</t>
  </si>
  <si>
    <t>algemeen:</t>
  </si>
  <si>
    <t>TVF algemeen z. HW</t>
  </si>
  <si>
    <t>TVF zonder:</t>
  </si>
  <si>
    <t>TVF met halfwinder:</t>
  </si>
  <si>
    <t>min:</t>
  </si>
  <si>
    <t>S</t>
  </si>
  <si>
    <t>-</t>
  </si>
  <si>
    <t xml:space="preserve">Auteur: </t>
  </si>
  <si>
    <t>Pieter Pluimers</t>
  </si>
  <si>
    <t>pieter_pluimers@hotmail.com</t>
  </si>
  <si>
    <t>Reken parameters</t>
  </si>
  <si>
    <t>Invoergegevens romp, rondhout en schroef</t>
  </si>
  <si>
    <t>Lengte Over Alles, de lengte van de romp over de stevens.</t>
  </si>
  <si>
    <t>Lengte, de lengte van de waterlijn over de stevens.</t>
  </si>
  <si>
    <t>Lengte Waterlijn, de lengte van de waterlijn zonder de stevens = LOA – OA - OV</t>
  </si>
  <si>
    <t>Lengte romp zonder stevens / berghouten, gemeten uit de snijpunten onderkant berghout en stevens.</t>
  </si>
  <si>
    <t>Oprichtend moment voor 1 graad helling in kgm.</t>
  </si>
  <si>
    <t>Vrijboord voor, gemeten tussen het wateropper-vlak en het snijpunt romp, voorsteven en onder-kant berghout. Het gemiddelde van stuurboord en bakboord.</t>
  </si>
  <si>
    <t>Vrijboord achter, gemeten tussen het wateroppervlak en het snijpunt romp, achtersteven en onderkant berghout. Het gemiddelde van stuurboord en bakboord.</t>
  </si>
  <si>
    <t>Overhang Voor, de horizontale afstand tussen het voorste meetpunt LOA en het voorste meetpunt LWL.</t>
  </si>
  <si>
    <t>Overhang Achter, de horizontale afstand tussen het achterste meetpunt LOA en het achterste meetpunt LWL.</t>
  </si>
  <si>
    <t>Breedte Waterlijn, gemeten op ⅓ LWL uit het vooreinde van de waterlijn (LWL).</t>
  </si>
  <si>
    <t>Diepgang voorschip, genomen van buitenkant huid tot het waterlijnvlak op ¼ BWL uit hartlijn en 1/3 LWL uit het vooreinde van de waterlijn (LWL).</t>
  </si>
  <si>
    <t>Diepgang achterschip, genomen van buitenkant huid tot het waterlijnvlak op ¼ BWL uit hartlijn en ⅔ LWL uit het vooreinde van de waterlijn (LWL).</t>
  </si>
  <si>
    <t>De grootste rompdiepgang, (zonder aanhangsels).</t>
  </si>
  <si>
    <t>Nat oppervlak, inclusief appendages.</t>
  </si>
  <si>
    <t>Factor waterverplaatsing.</t>
  </si>
  <si>
    <t>correctie schroef.</t>
  </si>
  <si>
    <t>diameter schroef.</t>
  </si>
  <si>
    <t>de afstand in dwarsscheepse projectie van het snijpunt van het voorstag met de voorkant van de mast tot het snijpunt van dek en huid dwars van de voorkant van de mast.</t>
  </si>
  <si>
    <t>de lengte van de loodlijn uit het snijpunt van het voorstag met de steven op de voorkant van de mast, waarbij uitgegaan wordt van de valling van de mastkoker (indien aanwezig). Het voorstag dient op de voorsteven aan te grijpen.</t>
  </si>
  <si>
    <t>de afstand van het snijpunt van het voorstag met de steven tot de pen van de schijf in het einde van de kluiverboom.</t>
  </si>
  <si>
    <t>Berekende waarden</t>
  </si>
  <si>
    <t>totaal gemeten zeiloppervlak</t>
  </si>
  <si>
    <t>totaal gecorrigeerd zeiloppervlak</t>
  </si>
  <si>
    <t>totaal oppervlak voordriehoek</t>
  </si>
  <si>
    <t>correctie factor fok aspectverhouding</t>
  </si>
  <si>
    <t>gemeten oppervlak fok</t>
  </si>
  <si>
    <t>oppervlak kluiver</t>
  </si>
  <si>
    <t>Rating algemeen</t>
  </si>
  <si>
    <t>(standaard) theoretische hellingshoek</t>
  </si>
  <si>
    <t>factor schroef</t>
  </si>
  <si>
    <t xml:space="preserve">Effectieve waterlijnlengte </t>
  </si>
  <si>
    <t>factor rompvorm algemeen</t>
  </si>
  <si>
    <t>factor rompvorm licht weer</t>
  </si>
  <si>
    <t>factor rompvorm midden weer</t>
  </si>
  <si>
    <t>FRMZ</t>
  </si>
  <si>
    <t>factor rompvorm zwaar weer</t>
  </si>
  <si>
    <t>Invoer zeilafmetingen Grootzeil</t>
  </si>
  <si>
    <t>Grootzeil Voorlijk Lengte, afstand tussen de meetpunten klauw- en halshoek.</t>
  </si>
  <si>
    <t>Grootzeil Achterlijk Lengte, afstand tussen de meetpunten top- en schoothoek.</t>
  </si>
  <si>
    <t>Grootzeil Onderlijk Lengte, afstand tussen de meetpunten schoot- en halshoek.</t>
  </si>
  <si>
    <t>Grootzeil Bovenlijk Lengte, afstand tussen de meetpunten top- en klauwhoek.</t>
  </si>
  <si>
    <t>Grootzeil Pijl Bovenlijk, peilronding boven de lijn GBL.</t>
  </si>
  <si>
    <t>Grootzeil Pijl Onderlijk, peilronding onder de lijn GOL.</t>
  </si>
  <si>
    <t>Grootzeil Diagonaal Top-hals, lengte van de diagonaal tussen de meetpunten top- en halshoek.</t>
  </si>
  <si>
    <t>Grootzeil Diagonaal Klauw-schot, lengte van de diagonaal tussen de meetpunten klauw- en schoothoek.</t>
  </si>
  <si>
    <t>gemeten oppervlak grootzeil.</t>
  </si>
  <si>
    <t>correctie factor grootzeil aspectverhouding.</t>
  </si>
  <si>
    <t>gecorrigeerde oppervlak grootzeil.</t>
  </si>
  <si>
    <t>Invoer zeilafmetingen Fok</t>
  </si>
  <si>
    <t>Fok Voorlijk Lengte, afstand tussen de meetpunten top- en halshoek.</t>
  </si>
  <si>
    <t>Fok Achterlijk Lengte, afstand tussen meetpunt achterzijde tophoek en meetpunt schoothoek.</t>
  </si>
  <si>
    <t>Fok Onderlijk Lengte, afstand tussen de meetpunten schoot- en halshoek.</t>
  </si>
  <si>
    <t>ToP, de breedte van de top tussen meetpunt tophoek en meetpunt achterzijde tophoek.</t>
  </si>
  <si>
    <t>Invoer zeilafmetingen Halfwinder</t>
  </si>
  <si>
    <t>Halfwinder Voorlijk Lengte, afstand tussen de meetpunten top- en halshoek gemeten langs de ronding van het zeil.</t>
  </si>
  <si>
    <t>Halfwinder Onderlijk Lengte, afstand tussen de meetpunten schoot- en halshoek.</t>
  </si>
  <si>
    <t>Halfwinder Breedte Halve hoogte, de breedte van de halfwinder tussen de meetpunten op halve hoogte.</t>
  </si>
  <si>
    <t>Oppervlak broodwinner (Aap).</t>
  </si>
  <si>
    <t>Invoer zeilafmetingen Kluiver</t>
  </si>
  <si>
    <t>Kluiver Voorlijk Lengte, afstand tussen meetpunten top- en halshoek.</t>
  </si>
  <si>
    <t>Kluiver Hoogtelijn Lengte, de lengte van de hoogtelijn uit meetpunt schoothoek op het voorlijk van de kluiver.</t>
  </si>
  <si>
    <t>TPK</t>
  </si>
  <si>
    <t>Top Kluiver, de breedte van de top tussen meetpunt tophoek en meetpunt achterzijde tophoek.</t>
  </si>
  <si>
    <r>
      <t>Berekende waterverplaatsing in water met een s.g. van 1,000 t/m</t>
    </r>
    <r>
      <rPr>
        <vertAlign val="superscript"/>
        <sz val="9"/>
        <rFont val="Arial"/>
        <family val="2"/>
      </rPr>
      <t>3</t>
    </r>
  </si>
  <si>
    <t xml:space="preserve">Dit rekenmodel is uitsluitend ter indicatie. Voor rekenfouten, programmeerfouten en invoerfouten kan geen aanspraak worden gemaakt op de auteur van dit rekenmodel. Ten alle tijden is de meetbrief uitgegeven door het Watersportverbond en gepubliceerd op de website van het Watersportverbond leidend. </t>
  </si>
  <si>
    <t>Rekenmodel TVF 2018</t>
  </si>
  <si>
    <t>FRV x FOW x TF</t>
  </si>
  <si>
    <t>FRVL x FOWL x TFL</t>
  </si>
  <si>
    <t>FRVM x FOWM x TFM</t>
  </si>
  <si>
    <t>FRVZ x FOWZ x TFZ</t>
  </si>
  <si>
    <t>TFC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</si>
</sst>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31"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4"/>
      <color theme="1"/>
      <name val="Calibri"/>
      <scheme val="minor"/>
    </font>
    <font>
      <sz val="14"/>
      <color theme="1"/>
      <name val="Calibri"/>
      <scheme val="minor"/>
    </font>
    <font>
      <sz val="12"/>
      <color theme="0"/>
      <name val="Calibri"/>
      <family val="2"/>
      <scheme val="minor"/>
    </font>
    <font>
      <sz val="10"/>
      <color theme="1"/>
      <name val="Calibri"/>
      <scheme val="minor"/>
    </font>
    <font>
      <sz val="12"/>
      <color rgb="FFFF0000"/>
      <name val="Calibri"/>
      <family val="2"/>
      <scheme val="minor"/>
    </font>
    <font>
      <sz val="12"/>
      <name val="Calibri"/>
      <scheme val="minor"/>
    </font>
    <font>
      <sz val="12"/>
      <color rgb="FF008000"/>
      <name val="Calibri"/>
      <scheme val="minor"/>
    </font>
    <font>
      <b/>
      <sz val="12"/>
      <name val="Calibri"/>
      <scheme val="minor"/>
    </font>
    <font>
      <b/>
      <sz val="14"/>
      <color theme="0"/>
      <name val="Calibri"/>
      <scheme val="minor"/>
    </font>
    <font>
      <b/>
      <sz val="12"/>
      <color rgb="FF000000"/>
      <name val="Calibri"/>
      <scheme val="minor"/>
    </font>
    <font>
      <i/>
      <sz val="12"/>
      <color theme="1"/>
      <name val="Calibri"/>
      <scheme val="minor"/>
    </font>
    <font>
      <b/>
      <sz val="11"/>
      <color theme="0"/>
      <name val="Calibri"/>
      <family val="2"/>
      <scheme val="minor"/>
    </font>
    <font>
      <sz val="12"/>
      <name val="Calibri"/>
      <family val="2"/>
      <scheme val="minor"/>
    </font>
    <font>
      <b/>
      <sz val="10"/>
      <color theme="0"/>
      <name val="Calibri"/>
      <family val="2"/>
      <scheme val="minor"/>
    </font>
    <font>
      <sz val="10"/>
      <color theme="1"/>
      <name val="Calibri"/>
      <family val="2"/>
      <scheme val="minor"/>
    </font>
    <font>
      <sz val="14"/>
      <color theme="1"/>
      <name val="Calibri"/>
      <family val="2"/>
      <scheme val="minor"/>
    </font>
    <font>
      <b/>
      <sz val="14"/>
      <name val="Calibri"/>
      <family val="2"/>
      <scheme val="minor"/>
    </font>
    <font>
      <b/>
      <sz val="12"/>
      <name val="Calibri"/>
      <family val="2"/>
      <scheme val="minor"/>
    </font>
    <font>
      <b/>
      <sz val="18"/>
      <color theme="1"/>
      <name val="Calibri"/>
      <family val="2"/>
      <scheme val="minor"/>
    </font>
    <font>
      <b/>
      <sz val="12"/>
      <color rgb="FF000000"/>
      <name val="Calibri"/>
      <family val="2"/>
      <scheme val="minor"/>
    </font>
    <font>
      <u/>
      <sz val="10"/>
      <color theme="10"/>
      <name val="Calibri"/>
      <family val="2"/>
      <scheme val="minor"/>
    </font>
    <font>
      <sz val="9"/>
      <name val="Arial"/>
      <family val="2"/>
    </font>
    <font>
      <vertAlign val="superscript"/>
      <sz val="9"/>
      <name val="Arial"/>
      <family val="2"/>
    </font>
    <font>
      <sz val="12"/>
      <name val="Cambria"/>
      <family val="1"/>
    </font>
    <font>
      <b/>
      <u/>
      <sz val="9"/>
      <name val="Arial"/>
      <family val="2"/>
    </font>
    <font>
      <i/>
      <sz val="12"/>
      <color theme="0"/>
      <name val="Calibri"/>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99"/>
        <bgColor indexed="64"/>
      </patternFill>
    </fill>
  </fills>
  <borders count="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s>
  <cellStyleXfs count="46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64">
    <xf numFmtId="0" fontId="0" fillId="0" borderId="0" xfId="0"/>
    <xf numFmtId="0" fontId="20" fillId="0" borderId="0" xfId="0" applyFont="1" applyProtection="1"/>
    <xf numFmtId="0" fontId="20" fillId="0" borderId="0" xfId="0" applyFont="1" applyFill="1" applyProtection="1"/>
    <xf numFmtId="0" fontId="0" fillId="0" borderId="0" xfId="0" applyProtection="1"/>
    <xf numFmtId="0" fontId="0" fillId="0" borderId="0" xfId="0" applyFont="1" applyProtection="1"/>
    <xf numFmtId="0" fontId="0" fillId="0" borderId="0" xfId="0" applyFill="1" applyProtection="1"/>
    <xf numFmtId="0" fontId="22" fillId="0" borderId="0" xfId="0" applyFont="1" applyFill="1" applyBorder="1" applyAlignment="1" applyProtection="1">
      <alignment horizontal="left"/>
    </xf>
    <xf numFmtId="0" fontId="17" fillId="0" borderId="0" xfId="0" applyFont="1" applyFill="1" applyBorder="1" applyProtection="1"/>
    <xf numFmtId="0" fontId="5" fillId="0" borderId="3" xfId="0" applyFont="1" applyFill="1" applyBorder="1" applyAlignment="1" applyProtection="1"/>
    <xf numFmtId="164" fontId="6" fillId="0" borderId="3" xfId="0" applyNumberFormat="1" applyFont="1" applyFill="1" applyBorder="1" applyAlignment="1" applyProtection="1"/>
    <xf numFmtId="164" fontId="5" fillId="0" borderId="3" xfId="0" applyNumberFormat="1" applyFont="1" applyFill="1" applyBorder="1" applyAlignment="1" applyProtection="1"/>
    <xf numFmtId="0" fontId="0" fillId="0" borderId="3" xfId="0" applyFill="1" applyBorder="1" applyProtection="1"/>
    <xf numFmtId="0" fontId="0" fillId="0" borderId="3" xfId="0" applyFill="1" applyBorder="1" applyAlignment="1" applyProtection="1"/>
    <xf numFmtId="0" fontId="9" fillId="0" borderId="3"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1" fillId="0" borderId="0" xfId="0" applyFont="1" applyFill="1" applyBorder="1" applyProtection="1"/>
    <xf numFmtId="0" fontId="0" fillId="0" borderId="0" xfId="0" applyFill="1" applyBorder="1" applyProtection="1"/>
    <xf numFmtId="0" fontId="0" fillId="0" borderId="0" xfId="0" applyFont="1" applyFill="1" applyBorder="1" applyProtection="1"/>
    <xf numFmtId="0" fontId="0" fillId="0" borderId="0" xfId="0" applyFill="1" applyAlignment="1" applyProtection="1"/>
    <xf numFmtId="0" fontId="10" fillId="0" borderId="0" xfId="0" applyFont="1" applyFill="1" applyBorder="1" applyAlignment="1" applyProtection="1"/>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0" fillId="0" borderId="0" xfId="0" applyFill="1" applyAlignment="1" applyProtection="1">
      <alignment horizontal="right"/>
    </xf>
    <xf numFmtId="2" fontId="17" fillId="0" borderId="0" xfId="0" applyNumberFormat="1" applyFont="1" applyFill="1" applyBorder="1" applyAlignment="1" applyProtection="1">
      <alignment horizontal="left"/>
    </xf>
    <xf numFmtId="0" fontId="0" fillId="0" borderId="0" xfId="0" applyFill="1" applyBorder="1" applyAlignment="1" applyProtection="1"/>
    <xf numFmtId="0" fontId="15" fillId="0" borderId="0" xfId="0" applyFont="1" applyFill="1" applyBorder="1" applyAlignment="1" applyProtection="1">
      <alignment horizontal="right"/>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4" fillId="0" borderId="0" xfId="0" applyFont="1" applyFill="1" applyBorder="1" applyProtection="1"/>
    <xf numFmtId="2" fontId="0" fillId="0" borderId="0" xfId="0" applyNumberFormat="1" applyFill="1" applyBorder="1" applyAlignment="1" applyProtection="1">
      <alignment horizontal="right"/>
    </xf>
    <xf numFmtId="0" fontId="0" fillId="0" borderId="0" xfId="0" applyAlignment="1" applyProtection="1">
      <alignment horizontal="right"/>
    </xf>
    <xf numFmtId="2" fontId="0" fillId="0" borderId="0" xfId="0" applyNumberFormat="1" applyFill="1" applyBorder="1" applyAlignment="1" applyProtection="1">
      <alignment horizontal="left"/>
    </xf>
    <xf numFmtId="2" fontId="0" fillId="0" borderId="0" xfId="0" applyNumberFormat="1" applyFont="1" applyFill="1" applyBorder="1" applyAlignment="1" applyProtection="1">
      <alignment horizontal="right"/>
    </xf>
    <xf numFmtId="2" fontId="0" fillId="0" borderId="0" xfId="0" applyNumberFormat="1" applyFill="1" applyBorder="1" applyAlignment="1" applyProtection="1">
      <alignment horizontal="center"/>
    </xf>
    <xf numFmtId="0" fontId="0" fillId="0" borderId="0" xfId="0" applyFill="1" applyAlignment="1" applyProtection="1">
      <alignment horizontal="left"/>
    </xf>
    <xf numFmtId="0" fontId="4" fillId="0" borderId="0" xfId="0" applyFont="1" applyFill="1" applyBorder="1" applyAlignment="1" applyProtection="1">
      <alignment horizontal="right"/>
    </xf>
    <xf numFmtId="0" fontId="4" fillId="0" borderId="0" xfId="0" applyFont="1" applyFill="1" applyBorder="1" applyAlignment="1" applyProtection="1"/>
    <xf numFmtId="0" fontId="0" fillId="0" borderId="0" xfId="0" applyBorder="1" applyProtection="1"/>
    <xf numFmtId="0" fontId="0" fillId="0" borderId="3" xfId="0" applyFill="1" applyBorder="1" applyAlignment="1" applyProtection="1">
      <alignment vertical="top"/>
    </xf>
    <xf numFmtId="0" fontId="0" fillId="0" borderId="3" xfId="0" applyBorder="1" applyAlignment="1" applyProtection="1">
      <alignment vertical="top"/>
    </xf>
    <xf numFmtId="0" fontId="0" fillId="0" borderId="3" xfId="0" applyBorder="1" applyProtection="1"/>
    <xf numFmtId="1" fontId="0" fillId="0" borderId="3" xfId="0" applyNumberFormat="1" applyFill="1" applyBorder="1" applyAlignment="1" applyProtection="1">
      <alignment vertical="top"/>
    </xf>
    <xf numFmtId="0" fontId="0" fillId="0" borderId="3" xfId="0" applyFill="1" applyBorder="1" applyAlignment="1" applyProtection="1">
      <alignment horizontal="left"/>
    </xf>
    <xf numFmtId="0" fontId="0" fillId="0" borderId="0" xfId="0" applyFont="1" applyFill="1" applyBorder="1" applyAlignment="1" applyProtection="1">
      <alignment horizontal="right"/>
    </xf>
    <xf numFmtId="165" fontId="4" fillId="0" borderId="0" xfId="0" applyNumberFormat="1" applyFont="1" applyFill="1" applyBorder="1" applyAlignment="1" applyProtection="1"/>
    <xf numFmtId="0" fontId="0" fillId="0" borderId="0" xfId="0" applyFont="1" applyFill="1" applyBorder="1" applyAlignment="1" applyProtection="1">
      <alignment horizontal="left"/>
    </xf>
    <xf numFmtId="0" fontId="0" fillId="0" borderId="4" xfId="0" applyFill="1" applyBorder="1" applyProtection="1"/>
    <xf numFmtId="0" fontId="14" fillId="0" borderId="0" xfId="0" applyFont="1" applyFill="1" applyBorder="1" applyProtection="1"/>
    <xf numFmtId="0" fontId="1" fillId="0" borderId="0" xfId="0" applyFont="1" applyFill="1" applyBorder="1" applyAlignment="1" applyProtection="1">
      <alignment horizontal="left"/>
    </xf>
    <xf numFmtId="2" fontId="0" fillId="0" borderId="0" xfId="0" applyNumberFormat="1" applyFill="1" applyBorder="1" applyProtection="1"/>
    <xf numFmtId="0" fontId="1" fillId="0" borderId="0" xfId="0" applyFont="1" applyFill="1" applyBorder="1" applyAlignment="1" applyProtection="1"/>
    <xf numFmtId="0" fontId="0" fillId="0" borderId="0" xfId="0" quotePrefix="1" applyFill="1" applyBorder="1" applyAlignment="1" applyProtection="1">
      <alignment horizontal="right"/>
    </xf>
    <xf numFmtId="2" fontId="4" fillId="0" borderId="0" xfId="0" applyNumberFormat="1" applyFont="1" applyFill="1" applyBorder="1" applyAlignment="1" applyProtection="1">
      <alignment horizontal="left"/>
    </xf>
    <xf numFmtId="0" fontId="0" fillId="0" borderId="4" xfId="0" applyBorder="1" applyProtection="1"/>
    <xf numFmtId="0" fontId="10" fillId="0" borderId="0" xfId="0" applyFont="1" applyBorder="1" applyProtection="1"/>
    <xf numFmtId="2" fontId="10" fillId="0" borderId="0" xfId="0" applyNumberFormat="1" applyFont="1" applyFill="1" applyBorder="1" applyAlignment="1" applyProtection="1"/>
    <xf numFmtId="0" fontId="4" fillId="0" borderId="0" xfId="0" applyFont="1" applyFill="1" applyBorder="1" applyAlignment="1" applyProtection="1">
      <alignment horizontal="left"/>
    </xf>
    <xf numFmtId="0" fontId="7" fillId="0" borderId="0" xfId="0" applyFont="1" applyFill="1" applyBorder="1" applyAlignment="1" applyProtection="1"/>
    <xf numFmtId="165" fontId="0" fillId="0" borderId="0" xfId="0" applyNumberFormat="1" applyFill="1" applyBorder="1" applyAlignment="1" applyProtection="1">
      <alignment horizontal="right"/>
    </xf>
    <xf numFmtId="0" fontId="1" fillId="0" borderId="0" xfId="0" applyFont="1" applyProtection="1"/>
    <xf numFmtId="165" fontId="10" fillId="0" borderId="0" xfId="0" applyNumberFormat="1" applyFont="1" applyFill="1" applyBorder="1" applyProtection="1"/>
    <xf numFmtId="0" fontId="0" fillId="0" borderId="0" xfId="0" applyFont="1" applyBorder="1" applyProtection="1"/>
    <xf numFmtId="0" fontId="0" fillId="0" borderId="0" xfId="0" applyFont="1" applyFill="1" applyBorder="1" applyAlignment="1" applyProtection="1"/>
    <xf numFmtId="165" fontId="0" fillId="0" borderId="0" xfId="0" applyNumberFormat="1" applyFont="1" applyFill="1" applyBorder="1" applyAlignment="1" applyProtection="1"/>
    <xf numFmtId="0" fontId="10" fillId="0" borderId="0" xfId="0" applyFont="1" applyFill="1" applyBorder="1" applyAlignment="1" applyProtection="1">
      <alignment horizontal="left"/>
    </xf>
    <xf numFmtId="164" fontId="12" fillId="0" borderId="0" xfId="0" applyNumberFormat="1" applyFont="1" applyFill="1" applyBorder="1" applyAlignment="1" applyProtection="1"/>
    <xf numFmtId="164" fontId="1" fillId="0" borderId="0" xfId="0" applyNumberFormat="1" applyFont="1" applyFill="1" applyBorder="1" applyProtection="1"/>
    <xf numFmtId="0" fontId="0" fillId="0" borderId="0" xfId="0" applyFont="1" applyFill="1" applyProtection="1"/>
    <xf numFmtId="0" fontId="0" fillId="0" borderId="4" xfId="0" applyFont="1" applyFill="1" applyBorder="1" applyAlignment="1" applyProtection="1"/>
    <xf numFmtId="2" fontId="0" fillId="0" borderId="0" xfId="0" applyNumberFormat="1" applyFill="1" applyBorder="1" applyAlignment="1" applyProtection="1"/>
    <xf numFmtId="0" fontId="0" fillId="0" borderId="0" xfId="0" applyFill="1" applyBorder="1" applyAlignment="1" applyProtection="1">
      <alignment vertical="top"/>
    </xf>
    <xf numFmtId="0" fontId="0" fillId="0" borderId="0" xfId="0" applyFont="1" applyFill="1" applyBorder="1" applyAlignment="1" applyProtection="1">
      <alignment vertical="top"/>
    </xf>
    <xf numFmtId="0" fontId="1" fillId="0" borderId="3" xfId="0" applyFont="1" applyFill="1" applyBorder="1" applyAlignment="1" applyProtection="1"/>
    <xf numFmtId="0" fontId="4" fillId="0" borderId="3" xfId="0" applyFont="1" applyFill="1" applyBorder="1" applyProtection="1"/>
    <xf numFmtId="164" fontId="1" fillId="0" borderId="3" xfId="0" applyNumberFormat="1" applyFont="1" applyFill="1" applyBorder="1" applyAlignment="1" applyProtection="1">
      <alignment horizontal="right"/>
    </xf>
    <xf numFmtId="0" fontId="7" fillId="0" borderId="3" xfId="0" applyFont="1" applyFill="1" applyBorder="1" applyAlignment="1" applyProtection="1"/>
    <xf numFmtId="164" fontId="1" fillId="0" borderId="0" xfId="0" applyNumberFormat="1" applyFont="1" applyFill="1" applyBorder="1" applyAlignment="1" applyProtection="1">
      <alignment horizontal="right"/>
    </xf>
    <xf numFmtId="0" fontId="0" fillId="0" borderId="0" xfId="0" applyAlignment="1" applyProtection="1"/>
    <xf numFmtId="165" fontId="0" fillId="0" borderId="0" xfId="0" applyNumberFormat="1" applyProtection="1"/>
    <xf numFmtId="0" fontId="13" fillId="0" borderId="0" xfId="0" applyFont="1" applyFill="1" applyBorder="1" applyAlignment="1" applyProtection="1">
      <alignment horizontal="center"/>
    </xf>
    <xf numFmtId="0" fontId="13" fillId="0" borderId="0" xfId="0" applyFont="1" applyFill="1" applyBorder="1" applyAlignment="1" applyProtection="1"/>
    <xf numFmtId="165" fontId="0" fillId="0" borderId="0" xfId="0" applyNumberFormat="1" applyFill="1" applyBorder="1" applyProtection="1"/>
    <xf numFmtId="165" fontId="24" fillId="0" borderId="0" xfId="0" applyNumberFormat="1" applyFont="1" applyFill="1" applyBorder="1" applyAlignment="1" applyProtection="1"/>
    <xf numFmtId="164" fontId="1" fillId="0" borderId="0" xfId="0" applyNumberFormat="1" applyFont="1" applyFill="1" applyBorder="1" applyAlignment="1" applyProtection="1"/>
    <xf numFmtId="164" fontId="0" fillId="0" borderId="0" xfId="0" applyNumberFormat="1" applyFill="1" applyBorder="1" applyProtection="1"/>
    <xf numFmtId="0" fontId="15" fillId="0" borderId="0" xfId="0" applyFont="1" applyFill="1" applyBorder="1" applyProtection="1"/>
    <xf numFmtId="164" fontId="0" fillId="0" borderId="0" xfId="0" applyNumberFormat="1" applyFill="1" applyBorder="1" applyAlignment="1" applyProtection="1">
      <alignment horizontal="right"/>
    </xf>
    <xf numFmtId="164" fontId="0" fillId="0" borderId="0" xfId="0" applyNumberFormat="1" applyFill="1" applyBorder="1" applyAlignment="1" applyProtection="1"/>
    <xf numFmtId="0" fontId="0" fillId="0" borderId="0" xfId="0" applyBorder="1" applyAlignment="1" applyProtection="1">
      <alignment vertical="center"/>
    </xf>
    <xf numFmtId="0" fontId="12" fillId="0" borderId="0" xfId="0" applyFont="1" applyFill="1" applyBorder="1" applyProtection="1"/>
    <xf numFmtId="164" fontId="22" fillId="0" borderId="0" xfId="0" applyNumberFormat="1" applyFont="1" applyFill="1" applyBorder="1" applyAlignment="1" applyProtection="1"/>
    <xf numFmtId="164" fontId="12" fillId="0" borderId="0" xfId="0" applyNumberFormat="1" applyFont="1" applyFill="1" applyBorder="1" applyProtection="1"/>
    <xf numFmtId="164" fontId="10" fillId="0" borderId="0" xfId="0" applyNumberFormat="1" applyFont="1" applyFill="1" applyBorder="1" applyAlignment="1" applyProtection="1"/>
    <xf numFmtId="0" fontId="0" fillId="2" borderId="0" xfId="0" applyFill="1" applyProtection="1"/>
    <xf numFmtId="166" fontId="0" fillId="0" borderId="0" xfId="0" applyNumberFormat="1" applyFill="1" applyBorder="1" applyProtection="1"/>
    <xf numFmtId="165" fontId="0" fillId="0" borderId="0" xfId="0" applyNumberFormat="1" applyFill="1" applyBorder="1" applyAlignment="1" applyProtection="1"/>
    <xf numFmtId="0" fontId="1" fillId="0" borderId="0" xfId="0" applyFont="1" applyFill="1" applyProtection="1"/>
    <xf numFmtId="164" fontId="1" fillId="0" borderId="0" xfId="0" applyNumberFormat="1" applyFont="1" applyFill="1" applyProtection="1"/>
    <xf numFmtId="0" fontId="1" fillId="0" borderId="0" xfId="0" applyFont="1" applyFill="1" applyBorder="1" applyAlignment="1" applyProtection="1">
      <alignment vertical="center"/>
    </xf>
    <xf numFmtId="164" fontId="0" fillId="0" borderId="0" xfId="0" applyNumberFormat="1" applyFill="1" applyProtection="1"/>
    <xf numFmtId="0" fontId="11" fillId="0" borderId="0" xfId="0" applyFont="1" applyAlignment="1" applyProtection="1">
      <alignment horizontal="left"/>
    </xf>
    <xf numFmtId="0" fontId="10" fillId="0" borderId="0" xfId="0" applyFont="1" applyAlignment="1" applyProtection="1">
      <alignment horizontal="left"/>
    </xf>
    <xf numFmtId="0" fontId="9" fillId="0" borderId="0" xfId="0" applyFont="1" applyProtection="1"/>
    <xf numFmtId="0" fontId="7" fillId="0" borderId="0" xfId="0" applyFont="1" applyFill="1" applyBorder="1" applyProtection="1"/>
    <xf numFmtId="0" fontId="10" fillId="0" borderId="0" xfId="0" applyFont="1" applyFill="1" applyBorder="1" applyProtection="1"/>
    <xf numFmtId="0" fontId="18" fillId="3" borderId="1" xfId="0" applyFont="1" applyFill="1" applyBorder="1" applyAlignment="1" applyProtection="1"/>
    <xf numFmtId="0" fontId="13" fillId="3" borderId="1" xfId="0" applyFont="1" applyFill="1" applyBorder="1" applyAlignment="1" applyProtection="1"/>
    <xf numFmtId="0" fontId="13" fillId="0" borderId="1" xfId="0" applyFont="1" applyFill="1" applyBorder="1" applyAlignment="1" applyProtection="1"/>
    <xf numFmtId="0" fontId="8" fillId="0" borderId="0" xfId="0" applyFont="1" applyFill="1" applyBorder="1" applyProtection="1"/>
    <xf numFmtId="0" fontId="12" fillId="0" borderId="0" xfId="0" applyFont="1" applyFill="1" applyBorder="1" applyAlignment="1" applyProtection="1">
      <alignment horizontal="left"/>
    </xf>
    <xf numFmtId="0" fontId="10" fillId="0" borderId="0" xfId="0" applyFont="1" applyFill="1" applyBorder="1" applyAlignment="1" applyProtection="1">
      <alignment horizontal="right"/>
    </xf>
    <xf numFmtId="165" fontId="0" fillId="4" borderId="2" xfId="0" applyNumberFormat="1" applyFill="1" applyBorder="1" applyAlignment="1" applyProtection="1">
      <alignment horizontal="right"/>
      <protection locked="0"/>
    </xf>
    <xf numFmtId="0" fontId="0" fillId="4" borderId="2" xfId="0" applyFill="1" applyBorder="1" applyAlignment="1" applyProtection="1">
      <alignment horizontal="right"/>
      <protection locked="0"/>
    </xf>
    <xf numFmtId="165" fontId="4" fillId="4" borderId="2" xfId="0" applyNumberFormat="1" applyFont="1" applyFill="1" applyBorder="1" applyAlignment="1" applyProtection="1">
      <protection locked="0"/>
    </xf>
    <xf numFmtId="2" fontId="0" fillId="4" borderId="2" xfId="0" applyNumberFormat="1" applyFill="1" applyBorder="1" applyAlignment="1" applyProtection="1">
      <alignment horizontal="right"/>
      <protection locked="0"/>
    </xf>
    <xf numFmtId="2" fontId="4" fillId="4" borderId="2" xfId="0" applyNumberFormat="1" applyFont="1" applyFill="1" applyBorder="1" applyAlignment="1" applyProtection="1">
      <protection locked="0"/>
    </xf>
    <xf numFmtId="165" fontId="0" fillId="4" borderId="2" xfId="0" applyNumberFormat="1" applyFill="1" applyBorder="1" applyAlignment="1" applyProtection="1">
      <protection locked="0"/>
    </xf>
    <xf numFmtId="0" fontId="0" fillId="4" borderId="2" xfId="0" applyFill="1" applyBorder="1" applyAlignment="1" applyProtection="1">
      <protection locked="0"/>
    </xf>
    <xf numFmtId="2" fontId="10" fillId="4" borderId="2" xfId="0" applyNumberFormat="1"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2" fontId="0" fillId="4" borderId="2" xfId="0" applyNumberFormat="1" applyFill="1" applyBorder="1" applyAlignment="1" applyProtection="1">
      <alignment horizontal="left"/>
      <protection locked="0"/>
    </xf>
    <xf numFmtId="2" fontId="4" fillId="4" borderId="2" xfId="0" applyNumberFormat="1" applyFont="1" applyFill="1" applyBorder="1" applyAlignment="1" applyProtection="1">
      <alignment horizontal="left"/>
      <protection locked="0"/>
    </xf>
    <xf numFmtId="0" fontId="0" fillId="4" borderId="2" xfId="0" applyFill="1" applyBorder="1" applyAlignment="1" applyProtection="1">
      <alignment horizontal="left"/>
      <protection locked="0"/>
    </xf>
    <xf numFmtId="0" fontId="4" fillId="4" borderId="2" xfId="0" applyFont="1" applyFill="1" applyBorder="1" applyAlignment="1" applyProtection="1">
      <alignment horizontal="left"/>
      <protection locked="0"/>
    </xf>
    <xf numFmtId="164" fontId="4" fillId="4" borderId="2" xfId="0" applyNumberFormat="1" applyFont="1" applyFill="1" applyBorder="1" applyAlignment="1" applyProtection="1">
      <alignment horizontal="right"/>
      <protection locked="0"/>
    </xf>
    <xf numFmtId="0" fontId="15" fillId="0" borderId="3" xfId="0" applyFont="1" applyFill="1" applyBorder="1" applyProtection="1"/>
    <xf numFmtId="0" fontId="0" fillId="0" borderId="3" xfId="0" applyFont="1" applyFill="1" applyBorder="1" applyProtection="1"/>
    <xf numFmtId="0" fontId="0" fillId="0" borderId="3" xfId="0" applyFont="1" applyBorder="1" applyProtection="1"/>
    <xf numFmtId="2" fontId="10" fillId="0" borderId="3" xfId="0" applyNumberFormat="1" applyFont="1" applyFill="1" applyBorder="1" applyAlignment="1" applyProtection="1"/>
    <xf numFmtId="0" fontId="25" fillId="0" borderId="0" xfId="465" applyFont="1" applyAlignment="1" applyProtection="1">
      <alignment vertical="top"/>
    </xf>
    <xf numFmtId="0" fontId="0" fillId="0" borderId="0" xfId="0" applyAlignment="1" applyProtection="1">
      <alignment vertical="top"/>
    </xf>
    <xf numFmtId="0" fontId="0" fillId="0" borderId="0" xfId="0" applyFont="1" applyAlignment="1" applyProtection="1">
      <alignment vertical="top"/>
    </xf>
    <xf numFmtId="0" fontId="0" fillId="0" borderId="0" xfId="0" applyFill="1" applyAlignment="1" applyProtection="1">
      <alignment vertical="top"/>
    </xf>
    <xf numFmtId="0" fontId="0" fillId="0" borderId="0" xfId="0" applyFont="1" applyAlignment="1" applyProtection="1"/>
    <xf numFmtId="0" fontId="19" fillId="0" borderId="0" xfId="0" applyFont="1" applyAlignment="1" applyProtection="1"/>
    <xf numFmtId="0" fontId="20" fillId="0" borderId="0" xfId="0" applyFont="1" applyAlignment="1" applyProtection="1"/>
    <xf numFmtId="2" fontId="4" fillId="0" borderId="0" xfId="0" applyNumberFormat="1" applyFont="1" applyFill="1" applyBorder="1" applyAlignment="1" applyProtection="1"/>
    <xf numFmtId="0" fontId="17" fillId="0" borderId="0" xfId="0" applyFont="1"/>
    <xf numFmtId="0" fontId="26" fillId="0" borderId="0" xfId="0" applyFont="1" applyAlignment="1">
      <alignment vertical="center" wrapText="1"/>
    </xf>
    <xf numFmtId="0" fontId="28"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30" fillId="0" borderId="0" xfId="0" applyFont="1" applyFill="1" applyBorder="1" applyAlignment="1" applyProtection="1"/>
    <xf numFmtId="0" fontId="15" fillId="0" borderId="0" xfId="0" applyFont="1" applyFill="1" applyProtection="1"/>
    <xf numFmtId="0" fontId="15" fillId="0" borderId="0" xfId="0" applyFont="1" applyFill="1" applyAlignment="1" applyProtection="1">
      <alignment horizontal="right"/>
    </xf>
    <xf numFmtId="0" fontId="15" fillId="0" borderId="0" xfId="0" applyFont="1" applyAlignment="1" applyProtection="1">
      <alignment horizontal="right"/>
    </xf>
    <xf numFmtId="0" fontId="15" fillId="0" borderId="3" xfId="0" applyFont="1" applyFill="1" applyBorder="1" applyAlignment="1" applyProtection="1">
      <alignment vertical="top"/>
    </xf>
    <xf numFmtId="0" fontId="23" fillId="0" borderId="5" xfId="0" applyFont="1" applyBorder="1" applyAlignment="1" applyProtection="1">
      <alignment horizontal="center"/>
    </xf>
    <xf numFmtId="0" fontId="23" fillId="0" borderId="6" xfId="0" applyFont="1" applyBorder="1" applyAlignment="1" applyProtection="1">
      <alignment horizontal="center"/>
    </xf>
    <xf numFmtId="0" fontId="23" fillId="0" borderId="7" xfId="0" applyFont="1" applyBorder="1" applyAlignment="1" applyProtection="1">
      <alignment horizontal="center"/>
    </xf>
    <xf numFmtId="0" fontId="18" fillId="3" borderId="1" xfId="0" applyFont="1" applyFill="1" applyBorder="1" applyAlignment="1" applyProtection="1">
      <alignment horizontal="center"/>
    </xf>
    <xf numFmtId="0" fontId="18" fillId="3" borderId="0" xfId="0" applyFont="1" applyFill="1" applyBorder="1" applyAlignment="1" applyProtection="1">
      <alignment horizontal="center"/>
    </xf>
    <xf numFmtId="164" fontId="21" fillId="0" borderId="0" xfId="0" applyNumberFormat="1" applyFont="1" applyFill="1" applyBorder="1" applyAlignment="1" applyProtection="1">
      <alignment horizontal="left"/>
    </xf>
    <xf numFmtId="0" fontId="16" fillId="3" borderId="1" xfId="0" applyFont="1" applyFill="1" applyBorder="1" applyAlignment="1" applyProtection="1">
      <alignment horizontal="center"/>
    </xf>
    <xf numFmtId="0" fontId="16" fillId="3" borderId="0" xfId="0" applyFont="1" applyFill="1" applyBorder="1" applyAlignment="1" applyProtection="1">
      <alignment horizontal="center"/>
    </xf>
    <xf numFmtId="164" fontId="21" fillId="0" borderId="0" xfId="0" applyNumberFormat="1" applyFont="1" applyFill="1" applyBorder="1" applyAlignment="1" applyProtection="1">
      <alignment horizontal="center" wrapText="1"/>
    </xf>
    <xf numFmtId="14" fontId="19" fillId="0" borderId="0" xfId="0" applyNumberFormat="1" applyFont="1" applyAlignment="1" applyProtection="1">
      <alignment horizontal="left"/>
    </xf>
    <xf numFmtId="0" fontId="19" fillId="0" borderId="0" xfId="0" applyFont="1" applyAlignment="1" applyProtection="1">
      <alignment horizontal="left"/>
    </xf>
    <xf numFmtId="0" fontId="0" fillId="0" borderId="8" xfId="0" applyFont="1" applyFill="1" applyBorder="1" applyAlignment="1" applyProtection="1">
      <alignment horizontal="center" vertical="top" wrapText="1"/>
    </xf>
    <xf numFmtId="0" fontId="29" fillId="0" borderId="0" xfId="0" applyFont="1" applyAlignment="1">
      <alignment vertical="center" wrapText="1"/>
    </xf>
    <xf numFmtId="164" fontId="0" fillId="0" borderId="0" xfId="0" applyNumberFormat="1" applyFont="1" applyFill="1" applyBorder="1" applyAlignment="1" applyProtection="1"/>
    <xf numFmtId="165" fontId="1" fillId="0" borderId="0" xfId="0" applyNumberFormat="1" applyFont="1" applyFill="1" applyBorder="1" applyAlignment="1" applyProtection="1"/>
    <xf numFmtId="164" fontId="9" fillId="0" borderId="0" xfId="0" applyNumberFormat="1" applyFont="1" applyFill="1" applyBorder="1" applyProtection="1"/>
  </cellXfs>
  <cellStyles count="46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Gevolgde hyperlink" xfId="124" builtinId="9" hidden="1"/>
    <cellStyle name="Gevolgde hyperlink" xfId="126" builtinId="9" hidden="1"/>
    <cellStyle name="Gevolgde hyperlink" xfId="128" builtinId="9" hidden="1"/>
    <cellStyle name="Gevolgde hyperlink" xfId="130" builtinId="9" hidden="1"/>
    <cellStyle name="Gevolgde hyperlink" xfId="132" builtinId="9" hidden="1"/>
    <cellStyle name="Gevolgde hyperlink" xfId="134" builtinId="9" hidden="1"/>
    <cellStyle name="Gevolgde hyperlink" xfId="136" builtinId="9" hidden="1"/>
    <cellStyle name="Gevolgde hyperlink" xfId="138" builtinId="9" hidden="1"/>
    <cellStyle name="Gevolgde hyperlink" xfId="140" builtinId="9" hidden="1"/>
    <cellStyle name="Gevolgde hyperlink" xfId="142" builtinId="9" hidden="1"/>
    <cellStyle name="Gevolgde hyperlink" xfId="144" builtinId="9" hidden="1"/>
    <cellStyle name="Gevolgde hyperlink" xfId="146" builtinId="9" hidden="1"/>
    <cellStyle name="Gevolgde hyperlink" xfId="148" builtinId="9" hidden="1"/>
    <cellStyle name="Gevolgde hyperlink" xfId="150" builtinId="9" hidden="1"/>
    <cellStyle name="Gevolgde hyperlink" xfId="152" builtinId="9" hidden="1"/>
    <cellStyle name="Gevolgde hyperlink" xfId="154" builtinId="9" hidden="1"/>
    <cellStyle name="Gevolgde hyperlink" xfId="156" builtinId="9" hidden="1"/>
    <cellStyle name="Gevolgde hyperlink" xfId="158" builtinId="9" hidden="1"/>
    <cellStyle name="Gevolgde hyperlink" xfId="160" builtinId="9" hidden="1"/>
    <cellStyle name="Gevolgde hyperlink" xfId="162" builtinId="9" hidden="1"/>
    <cellStyle name="Gevolgde hyperlink" xfId="164" builtinId="9" hidden="1"/>
    <cellStyle name="Gevolgde hyperlink" xfId="166" builtinId="9" hidden="1"/>
    <cellStyle name="Gevolgde hyperlink" xfId="168" builtinId="9" hidden="1"/>
    <cellStyle name="Gevolgde hyperlink" xfId="170" builtinId="9" hidden="1"/>
    <cellStyle name="Gevolgde hyperlink" xfId="172" builtinId="9" hidden="1"/>
    <cellStyle name="Gevolgde hyperlink" xfId="174" builtinId="9" hidden="1"/>
    <cellStyle name="Gevolgde hyperlink" xfId="176" builtinId="9" hidden="1"/>
    <cellStyle name="Gevolgde hyperlink" xfId="178" builtinId="9" hidden="1"/>
    <cellStyle name="Gevolgde hyperlink" xfId="180" builtinId="9" hidden="1"/>
    <cellStyle name="Gevolgde hyperlink" xfId="182" builtinId="9" hidden="1"/>
    <cellStyle name="Gevolgde hyperlink" xfId="184" builtinId="9" hidden="1"/>
    <cellStyle name="Gevolgde hyperlink" xfId="186" builtinId="9" hidden="1"/>
    <cellStyle name="Gevolgde hyperlink" xfId="188" builtinId="9" hidden="1"/>
    <cellStyle name="Gevolgde hyperlink" xfId="190" builtinId="9" hidden="1"/>
    <cellStyle name="Gevolgde hyperlink" xfId="192" builtinId="9" hidden="1"/>
    <cellStyle name="Gevolgde hyperlink" xfId="194" builtinId="9" hidden="1"/>
    <cellStyle name="Gevolgde hyperlink" xfId="196" builtinId="9" hidden="1"/>
    <cellStyle name="Gevolgde hyperlink" xfId="198" builtinId="9" hidden="1"/>
    <cellStyle name="Gevolgde hyperlink" xfId="200" builtinId="9" hidden="1"/>
    <cellStyle name="Gevolgde hyperlink" xfId="202" builtinId="9" hidden="1"/>
    <cellStyle name="Gevolgde hyperlink" xfId="204" builtinId="9" hidden="1"/>
    <cellStyle name="Gevolgde hyperlink" xfId="206" builtinId="9" hidden="1"/>
    <cellStyle name="Gevolgde hyperlink" xfId="208" builtinId="9" hidden="1"/>
    <cellStyle name="Gevolgde hyperlink" xfId="210" builtinId="9" hidden="1"/>
    <cellStyle name="Gevolgde hyperlink" xfId="212" builtinId="9" hidden="1"/>
    <cellStyle name="Gevolgde hyperlink" xfId="214" builtinId="9" hidden="1"/>
    <cellStyle name="Gevolgde hyperlink" xfId="216" builtinId="9" hidden="1"/>
    <cellStyle name="Gevolgde hyperlink" xfId="218" builtinId="9" hidden="1"/>
    <cellStyle name="Gevolgde hyperlink" xfId="220" builtinId="9" hidden="1"/>
    <cellStyle name="Gevolgde hyperlink" xfId="222" builtinId="9" hidden="1"/>
    <cellStyle name="Gevolgde hyperlink" xfId="224" builtinId="9" hidden="1"/>
    <cellStyle name="Gevolgde hyperlink" xfId="226" builtinId="9" hidden="1"/>
    <cellStyle name="Gevolgde hyperlink" xfId="228" builtinId="9" hidden="1"/>
    <cellStyle name="Gevolgde hyperlink" xfId="230" builtinId="9" hidden="1"/>
    <cellStyle name="Gevolgde hyperlink" xfId="232" builtinId="9" hidden="1"/>
    <cellStyle name="Gevolgde hyperlink" xfId="234" builtinId="9" hidden="1"/>
    <cellStyle name="Gevolgde hyperlink" xfId="236" builtinId="9" hidden="1"/>
    <cellStyle name="Gevolgde hyperlink" xfId="238" builtinId="9" hidden="1"/>
    <cellStyle name="Gevolgde hyperlink" xfId="240" builtinId="9" hidden="1"/>
    <cellStyle name="Gevolgde hyperlink" xfId="242" builtinId="9" hidden="1"/>
    <cellStyle name="Gevolgde hyperlink" xfId="244" builtinId="9" hidden="1"/>
    <cellStyle name="Gevolgde hyperlink" xfId="246" builtinId="9" hidden="1"/>
    <cellStyle name="Gevolgde hyperlink" xfId="248" builtinId="9" hidden="1"/>
    <cellStyle name="Gevolgde hyperlink" xfId="250" builtinId="9" hidden="1"/>
    <cellStyle name="Gevolgde hyperlink" xfId="252" builtinId="9" hidden="1"/>
    <cellStyle name="Gevolgde hyperlink" xfId="254" builtinId="9" hidden="1"/>
    <cellStyle name="Gevolgde hyperlink" xfId="256" builtinId="9" hidden="1"/>
    <cellStyle name="Gevolgde hyperlink" xfId="258" builtinId="9" hidden="1"/>
    <cellStyle name="Gevolgde hyperlink" xfId="260" builtinId="9" hidden="1"/>
    <cellStyle name="Gevolgde hyperlink" xfId="262" builtinId="9" hidden="1"/>
    <cellStyle name="Gevolgde hyperlink" xfId="264" builtinId="9" hidden="1"/>
    <cellStyle name="Gevolgde hyperlink" xfId="266" builtinId="9" hidden="1"/>
    <cellStyle name="Gevolgde hyperlink" xfId="268" builtinId="9" hidden="1"/>
    <cellStyle name="Gevolgde hyperlink" xfId="270" builtinId="9" hidden="1"/>
    <cellStyle name="Gevolgde hyperlink" xfId="272" builtinId="9" hidden="1"/>
    <cellStyle name="Gevolgde hyperlink" xfId="274" builtinId="9" hidden="1"/>
    <cellStyle name="Gevolgde hyperlink" xfId="276" builtinId="9" hidden="1"/>
    <cellStyle name="Gevolgde hyperlink" xfId="278" builtinId="9" hidden="1"/>
    <cellStyle name="Gevolgde hyperlink" xfId="280" builtinId="9" hidden="1"/>
    <cellStyle name="Gevolgde hyperlink" xfId="282" builtinId="9" hidden="1"/>
    <cellStyle name="Gevolgde hyperlink" xfId="284" builtinId="9" hidden="1"/>
    <cellStyle name="Gevolgde hyperlink" xfId="286" builtinId="9" hidden="1"/>
    <cellStyle name="Gevolgde hyperlink" xfId="288" builtinId="9" hidden="1"/>
    <cellStyle name="Gevolgde hyperlink" xfId="290" builtinId="9" hidden="1"/>
    <cellStyle name="Gevolgde hyperlink" xfId="292" builtinId="9" hidden="1"/>
    <cellStyle name="Gevolgde hyperlink" xfId="294" builtinId="9" hidden="1"/>
    <cellStyle name="Gevolgde hyperlink" xfId="296" builtinId="9" hidden="1"/>
    <cellStyle name="Gevolgde hyperlink" xfId="298" builtinId="9" hidden="1"/>
    <cellStyle name="Gevolgde hyperlink" xfId="300" builtinId="9" hidden="1"/>
    <cellStyle name="Gevolgde hyperlink" xfId="302" builtinId="9" hidden="1"/>
    <cellStyle name="Gevolgde hyperlink" xfId="304" builtinId="9" hidden="1"/>
    <cellStyle name="Gevolgde hyperlink" xfId="306" builtinId="9" hidden="1"/>
    <cellStyle name="Gevolgde hyperlink" xfId="308" builtinId="9" hidden="1"/>
    <cellStyle name="Gevolgde hyperlink" xfId="310" builtinId="9" hidden="1"/>
    <cellStyle name="Gevolgde hyperlink" xfId="312" builtinId="9" hidden="1"/>
    <cellStyle name="Gevolgde hyperlink" xfId="314" builtinId="9" hidden="1"/>
    <cellStyle name="Gevolgde hyperlink" xfId="316" builtinId="9" hidden="1"/>
    <cellStyle name="Gevolgde hyperlink" xfId="318" builtinId="9" hidden="1"/>
    <cellStyle name="Gevolgde hyperlink" xfId="320" builtinId="9" hidden="1"/>
    <cellStyle name="Gevolgde hyperlink" xfId="322" builtinId="9" hidden="1"/>
    <cellStyle name="Gevolgde hyperlink" xfId="324" builtinId="9" hidden="1"/>
    <cellStyle name="Gevolgde hyperlink" xfId="326" builtinId="9" hidden="1"/>
    <cellStyle name="Gevolgde hyperlink" xfId="328" builtinId="9" hidden="1"/>
    <cellStyle name="Gevolgde hyperlink" xfId="330" builtinId="9" hidden="1"/>
    <cellStyle name="Gevolgde hyperlink" xfId="332" builtinId="9" hidden="1"/>
    <cellStyle name="Gevolgde hyperlink" xfId="334" builtinId="9" hidden="1"/>
    <cellStyle name="Gevolgde hyperlink" xfId="336" builtinId="9" hidden="1"/>
    <cellStyle name="Gevolgde hyperlink" xfId="338" builtinId="9" hidden="1"/>
    <cellStyle name="Gevolgde hyperlink" xfId="340" builtinId="9" hidden="1"/>
    <cellStyle name="Gevolgde hyperlink" xfId="342" builtinId="9" hidden="1"/>
    <cellStyle name="Gevolgde hyperlink" xfId="344" builtinId="9" hidden="1"/>
    <cellStyle name="Gevolgde hyperlink" xfId="346" builtinId="9" hidden="1"/>
    <cellStyle name="Gevolgde hyperlink" xfId="348" builtinId="9" hidden="1"/>
    <cellStyle name="Gevolgde hyperlink" xfId="350" builtinId="9" hidden="1"/>
    <cellStyle name="Gevolgde hyperlink" xfId="352" builtinId="9" hidden="1"/>
    <cellStyle name="Gevolgde hyperlink" xfId="354" builtinId="9" hidden="1"/>
    <cellStyle name="Gevolgde hyperlink" xfId="356" builtinId="9" hidden="1"/>
    <cellStyle name="Gevolgde hyperlink" xfId="358" builtinId="9" hidden="1"/>
    <cellStyle name="Gevolgde hyperlink" xfId="360" builtinId="9" hidden="1"/>
    <cellStyle name="Gevolgde hyperlink" xfId="362" builtinId="9" hidden="1"/>
    <cellStyle name="Gevolgde hyperlink" xfId="364" builtinId="9" hidden="1"/>
    <cellStyle name="Gevolgde hyperlink" xfId="366" builtinId="9" hidden="1"/>
    <cellStyle name="Gevolgde hyperlink" xfId="368" builtinId="9" hidden="1"/>
    <cellStyle name="Gevolgde hyperlink" xfId="370" builtinId="9" hidden="1"/>
    <cellStyle name="Gevolgde hyperlink" xfId="372" builtinId="9" hidden="1"/>
    <cellStyle name="Gevolgde hyperlink" xfId="374" builtinId="9" hidden="1"/>
    <cellStyle name="Gevolgde hyperlink" xfId="376" builtinId="9" hidden="1"/>
    <cellStyle name="Gevolgde hyperlink" xfId="378" builtinId="9" hidden="1"/>
    <cellStyle name="Gevolgde hyperlink" xfId="380" builtinId="9" hidden="1"/>
    <cellStyle name="Gevolgde hyperlink" xfId="382" builtinId="9" hidden="1"/>
    <cellStyle name="Gevolgde hyperlink" xfId="384" builtinId="9" hidden="1"/>
    <cellStyle name="Gevolgde hyperlink" xfId="386" builtinId="9" hidden="1"/>
    <cellStyle name="Gevolgde hyperlink" xfId="388" builtinId="9" hidden="1"/>
    <cellStyle name="Gevolgde hyperlink" xfId="390" builtinId="9" hidden="1"/>
    <cellStyle name="Gevolgde hyperlink" xfId="392" builtinId="9" hidden="1"/>
    <cellStyle name="Gevolgde hyperlink" xfId="394" builtinId="9" hidden="1"/>
    <cellStyle name="Gevolgde hyperlink" xfId="396" builtinId="9" hidden="1"/>
    <cellStyle name="Gevolgde hyperlink" xfId="398" builtinId="9" hidden="1"/>
    <cellStyle name="Gevolgde hyperlink" xfId="400" builtinId="9" hidden="1"/>
    <cellStyle name="Gevolgde hyperlink" xfId="402" builtinId="9" hidden="1"/>
    <cellStyle name="Gevolgde hyperlink" xfId="404" builtinId="9" hidden="1"/>
    <cellStyle name="Gevolgde hyperlink" xfId="406" builtinId="9" hidden="1"/>
    <cellStyle name="Gevolgde hyperlink" xfId="408" builtinId="9" hidden="1"/>
    <cellStyle name="Gevolgde hyperlink" xfId="410" builtinId="9" hidden="1"/>
    <cellStyle name="Gevolgde hyperlink" xfId="412" builtinId="9" hidden="1"/>
    <cellStyle name="Gevolgde hyperlink" xfId="414" builtinId="9" hidden="1"/>
    <cellStyle name="Gevolgde hyperlink" xfId="416" builtinId="9" hidden="1"/>
    <cellStyle name="Gevolgde hyperlink" xfId="418" builtinId="9" hidden="1"/>
    <cellStyle name="Gevolgde hyperlink" xfId="420" builtinId="9" hidden="1"/>
    <cellStyle name="Gevolgde hyperlink" xfId="422" builtinId="9" hidden="1"/>
    <cellStyle name="Gevolgde hyperlink" xfId="424" builtinId="9" hidden="1"/>
    <cellStyle name="Gevolgde hyperlink" xfId="426" builtinId="9" hidden="1"/>
    <cellStyle name="Gevolgde hyperlink" xfId="428" builtinId="9" hidden="1"/>
    <cellStyle name="Gevolgde hyperlink" xfId="430" builtinId="9" hidden="1"/>
    <cellStyle name="Gevolgde hyperlink" xfId="432" builtinId="9" hidden="1"/>
    <cellStyle name="Gevolgde hyperlink" xfId="434" builtinId="9" hidden="1"/>
    <cellStyle name="Gevolgde hyperlink" xfId="436" builtinId="9" hidden="1"/>
    <cellStyle name="Gevolgde hyperlink" xfId="438" builtinId="9" hidden="1"/>
    <cellStyle name="Gevolgde hyperlink" xfId="440" builtinId="9" hidden="1"/>
    <cellStyle name="Gevolgde hyperlink" xfId="442" builtinId="9" hidden="1"/>
    <cellStyle name="Gevolgde hyperlink" xfId="444" builtinId="9" hidden="1"/>
    <cellStyle name="Gevolgde hyperlink" xfId="446" builtinId="9" hidden="1"/>
    <cellStyle name="Gevolgde hyperlink" xfId="448" builtinId="9" hidden="1"/>
    <cellStyle name="Gevolgde hyperlink" xfId="450" builtinId="9" hidden="1"/>
    <cellStyle name="Gevolgde hyperlink" xfId="452" builtinId="9" hidden="1"/>
    <cellStyle name="Gevolgde hyperlink" xfId="454" builtinId="9" hidden="1"/>
    <cellStyle name="Gevolgde hyperlink" xfId="456" builtinId="9" hidden="1"/>
    <cellStyle name="Gevolgde hyperlink" xfId="458" builtinId="9" hidden="1"/>
    <cellStyle name="Gevolgde hyperlink" xfId="460" builtinId="9" hidden="1"/>
    <cellStyle name="Gevolgde hyperlink" xfId="462" builtinId="9" hidden="1"/>
    <cellStyle name="Gevolgde hyperlink" xfId="4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cellStyle name="Standaard"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Medium4"/>
  <colors>
    <mruColors>
      <color rgb="FFFFFF99"/>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60924</xdr:colOff>
      <xdr:row>0</xdr:row>
      <xdr:rowOff>139700</xdr:rowOff>
    </xdr:from>
    <xdr:to>
      <xdr:col>5</xdr:col>
      <xdr:colOff>190500</xdr:colOff>
      <xdr:row>5</xdr:row>
      <xdr:rowOff>151566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51449" y="139700"/>
          <a:ext cx="1691676" cy="1135816"/>
          <a:chOff x="454624" y="139700"/>
          <a:chExt cx="1691676" cy="1104066"/>
        </a:xfrm>
      </xdr:grpSpPr>
      <xdr:pic>
        <xdr:nvPicPr>
          <xdr:cNvPr id="5" name="Afbeelding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7" t="2064" r="-46"/>
          <a:stretch/>
        </xdr:blipFill>
        <xdr:spPr bwMode="auto">
          <a:xfrm>
            <a:off x="454624" y="139700"/>
            <a:ext cx="1390788" cy="1104066"/>
          </a:xfrm>
          <a:prstGeom prst="rect">
            <a:avLst/>
          </a:prstGeom>
          <a:noFill/>
          <a:extLst>
            <a:ext uri="{909E8E84-426E-40dd-AFC4-6F175D3DCCD1}">
              <a14:hiddenFill xmlns="" xmlns:a14="http://schemas.microsoft.com/office/drawing/2010/main">
                <a:solidFill>
                  <a:srgbClr val="FFFFFF"/>
                </a:solidFill>
              </a14:hiddenFill>
            </a:ext>
          </a:extLst>
        </xdr:spPr>
      </xdr:pic>
      <xdr:sp macro="" textlink="">
        <xdr:nvSpPr>
          <xdr:cNvPr id="6" name="Tekstvak 5">
            <a:extLst>
              <a:ext uri="{FF2B5EF4-FFF2-40B4-BE49-F238E27FC236}">
                <a16:creationId xmlns:a16="http://schemas.microsoft.com/office/drawing/2014/main" id="{00000000-0008-0000-0000-000006000000}"/>
              </a:ext>
            </a:extLst>
          </xdr:cNvPr>
          <xdr:cNvSpPr txBox="1"/>
        </xdr:nvSpPr>
        <xdr:spPr>
          <a:xfrm>
            <a:off x="498229" y="282524"/>
            <a:ext cx="1648071" cy="317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latin typeface="Times New Roman" panose="02020603050405020304" pitchFamily="18" charset="0"/>
                <a:cs typeface="Times New Roman" panose="02020603050405020304" pitchFamily="18" charset="0"/>
              </a:rPr>
              <a:t>V/VA</a:t>
            </a:r>
            <a:r>
              <a:rPr lang="nl-NL" sz="1100" baseline="0">
                <a:latin typeface="Times New Roman" panose="02020603050405020304" pitchFamily="18" charset="0"/>
                <a:cs typeface="Times New Roman" panose="02020603050405020304" pitchFamily="18" charset="0"/>
              </a:rPr>
              <a:t> klassenorganisatie</a:t>
            </a:r>
            <a:endParaRPr lang="nl-NL" sz="1100">
              <a:latin typeface="Times New Roman" panose="02020603050405020304" pitchFamily="18" charset="0"/>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ieter_pluimer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80"/>
  <sheetViews>
    <sheetView showGridLines="0" tabSelected="1" workbookViewId="0">
      <selection activeCell="AN13" sqref="AN13"/>
    </sheetView>
  </sheetViews>
  <sheetFormatPr defaultColWidth="11" defaultRowHeight="15.75" x14ac:dyDescent="0.25"/>
  <cols>
    <col min="1" max="1" width="5.125" style="3" customWidth="1"/>
    <col min="2" max="2" width="10.125" style="3" customWidth="1"/>
    <col min="3" max="3" width="1.875" style="3" bestFit="1" customWidth="1"/>
    <col min="4" max="4" width="6.625" style="3" customWidth="1"/>
    <col min="5" max="5" width="1.875" style="3" customWidth="1"/>
    <col min="6" max="6" width="6.625" style="3" customWidth="1"/>
    <col min="7" max="7" width="2" style="4" bestFit="1" customWidth="1"/>
    <col min="8" max="8" width="8.625" style="3" customWidth="1"/>
    <col min="9" max="9" width="1.875" style="3" customWidth="1"/>
    <col min="10" max="10" width="6.375" style="3" customWidth="1"/>
    <col min="11" max="11" width="2.875" style="3" customWidth="1"/>
    <col min="12" max="12" width="6.125" style="4" customWidth="1"/>
    <col min="13" max="13" width="2" style="3" bestFit="1" customWidth="1"/>
    <col min="14" max="14" width="7.625" style="3" customWidth="1"/>
    <col min="15" max="15" width="1.875" style="5" customWidth="1"/>
    <col min="16" max="16" width="5.625" style="3" customWidth="1"/>
    <col min="17" max="17" width="2" style="3" bestFit="1" customWidth="1"/>
    <col min="18" max="18" width="6.125" style="3" customWidth="1"/>
    <col min="19" max="19" width="2" style="3" customWidth="1"/>
    <col min="20" max="20" width="7.625" style="3" customWidth="1"/>
    <col min="21" max="21" width="2" style="3" customWidth="1"/>
    <col min="22" max="22" width="4.125" style="3" customWidth="1"/>
    <col min="23" max="23" width="7" style="3" customWidth="1"/>
    <col min="24" max="24" width="1.875" style="3" bestFit="1" customWidth="1"/>
    <col min="25" max="25" width="7.625" style="3" customWidth="1"/>
    <col min="26" max="26" width="3.875" style="5" customWidth="1"/>
    <col min="27" max="27" width="2.625" style="3" customWidth="1"/>
    <col min="28" max="28" width="18.75" style="3" bestFit="1" customWidth="1"/>
    <col min="29" max="29" width="1.875" style="3" bestFit="1" customWidth="1"/>
    <col min="30" max="30" width="8" style="3" customWidth="1"/>
    <col min="31" max="31" width="1.875" style="5" customWidth="1"/>
    <col min="32" max="32" width="6.375" style="3" bestFit="1" customWidth="1"/>
    <col min="33" max="33" width="2" style="3" bestFit="1" customWidth="1"/>
    <col min="34" max="34" width="6.375" style="3" bestFit="1" customWidth="1"/>
    <col min="35" max="35" width="4.875" style="3" customWidth="1"/>
    <col min="36" max="36" width="7" style="3" customWidth="1"/>
    <col min="37" max="37" width="1.875" style="3" bestFit="1" customWidth="1"/>
    <col min="38" max="38" width="8.125" style="3" customWidth="1"/>
    <col min="39" max="50" width="7" style="3" customWidth="1"/>
    <col min="51" max="51" width="21.625" style="3" customWidth="1"/>
    <col min="52" max="16384" width="11" style="3"/>
  </cols>
  <sheetData>
    <row r="1" spans="2:49" s="78" customFormat="1" ht="16.5" thickBot="1" x14ac:dyDescent="0.3">
      <c r="G1" s="134"/>
      <c r="L1" s="134"/>
      <c r="O1" s="19"/>
      <c r="Z1" s="19"/>
      <c r="AE1" s="19"/>
    </row>
    <row r="2" spans="2:49" s="131" customFormat="1" ht="24" thickBot="1" x14ac:dyDescent="0.4">
      <c r="G2" s="132"/>
      <c r="J2" s="148" t="s">
        <v>257</v>
      </c>
      <c r="K2" s="149"/>
      <c r="L2" s="149"/>
      <c r="M2" s="149"/>
      <c r="N2" s="149"/>
      <c r="O2" s="149"/>
      <c r="P2" s="149"/>
      <c r="Q2" s="149"/>
      <c r="R2" s="149"/>
      <c r="S2" s="149"/>
      <c r="T2" s="149"/>
      <c r="U2" s="149"/>
      <c r="V2" s="149"/>
      <c r="W2" s="149"/>
      <c r="X2" s="149"/>
      <c r="Y2" s="150"/>
      <c r="Z2" s="133"/>
      <c r="AB2" s="135" t="s">
        <v>187</v>
      </c>
      <c r="AC2" s="135" t="s">
        <v>188</v>
      </c>
      <c r="AD2" s="136"/>
      <c r="AE2" s="133"/>
    </row>
    <row r="3" spans="2:49" s="1" customFormat="1" ht="13.5" customHeight="1" x14ac:dyDescent="0.3">
      <c r="O3" s="2"/>
      <c r="Z3" s="2"/>
      <c r="AA3" s="78"/>
      <c r="AB3" s="131"/>
      <c r="AC3" s="130" t="s">
        <v>189</v>
      </c>
      <c r="AD3" s="131"/>
      <c r="AE3" s="2"/>
    </row>
    <row r="4" spans="2:49" x14ac:dyDescent="0.25">
      <c r="L4" s="3"/>
      <c r="M4" s="3" t="s">
        <v>180</v>
      </c>
      <c r="N4" s="4"/>
      <c r="O4" s="3"/>
      <c r="R4" s="3" t="s">
        <v>179</v>
      </c>
      <c r="U4" s="3" t="s">
        <v>178</v>
      </c>
      <c r="Y4" s="3" t="s">
        <v>177</v>
      </c>
      <c r="Z4" s="3"/>
      <c r="AA4" s="131"/>
      <c r="AC4" s="157">
        <v>43221</v>
      </c>
      <c r="AD4" s="158"/>
      <c r="AE4" s="158"/>
      <c r="AF4" s="158"/>
    </row>
    <row r="5" spans="2:49" ht="18.75" x14ac:dyDescent="0.3">
      <c r="G5" s="3" t="s">
        <v>182</v>
      </c>
      <c r="H5" s="6"/>
      <c r="I5" s="6"/>
      <c r="L5" s="3"/>
      <c r="M5" s="153" t="e">
        <f>-0.0245*N69+0.3931*N69^(0.5)+0.0847</f>
        <v>#DIV/0!</v>
      </c>
      <c r="N5" s="153"/>
      <c r="O5" s="3"/>
      <c r="R5" s="156" t="e">
        <f>-0.0516*RL_z+0.5513*RL_z^(0.5)-0.1319</f>
        <v>#DIV/0!</v>
      </c>
      <c r="S5" s="156"/>
      <c r="U5" s="153" t="e">
        <f>-0.0231*RM_z+0.4039*RM_z^(0.5)+0.0266</f>
        <v>#DIV/0!</v>
      </c>
      <c r="V5" s="153"/>
      <c r="W5" s="153"/>
      <c r="Y5" s="153" t="e">
        <f>-0.0098*RZ_z+0.2741*RZ_z^(0.5)+0.3205</f>
        <v>#DIV/0!</v>
      </c>
      <c r="Z5" s="153"/>
      <c r="AE5" s="3"/>
    </row>
    <row r="6" spans="2:49" ht="18.75" x14ac:dyDescent="0.3">
      <c r="G6" s="3" t="s">
        <v>183</v>
      </c>
      <c r="H6" s="6"/>
      <c r="I6" s="6"/>
      <c r="L6" s="3"/>
      <c r="M6" s="153" t="e">
        <f>-0.0245*RA+0.3931*RA^(0.5)+0.0847</f>
        <v>#DIV/0!</v>
      </c>
      <c r="N6" s="153"/>
      <c r="O6" s="3"/>
      <c r="R6" s="153" t="e">
        <f>-0.0516*RL+0.5513*RL^(0.5)-0.1319</f>
        <v>#DIV/0!</v>
      </c>
      <c r="S6" s="153"/>
      <c r="U6" s="153" t="e">
        <f>-0.0231*RMM+0.4039*RMM^(0.5)+0.0266</f>
        <v>#DIV/0!</v>
      </c>
      <c r="V6" s="153"/>
      <c r="W6" s="153"/>
      <c r="Y6" s="153" t="e">
        <f>-0.0098*RZ+0.2741*RZ^(0.5)+0.3205</f>
        <v>#DIV/0!</v>
      </c>
      <c r="Z6" s="153"/>
      <c r="AE6" s="3"/>
    </row>
    <row r="7" spans="2:49" ht="7.5" customHeight="1" thickBot="1" x14ac:dyDescent="0.35">
      <c r="B7" s="8"/>
      <c r="C7" s="8"/>
      <c r="D7" s="8"/>
      <c r="E7" s="8"/>
      <c r="F7" s="8"/>
      <c r="G7" s="8"/>
      <c r="H7" s="8"/>
      <c r="I7" s="9"/>
      <c r="J7" s="9"/>
      <c r="K7" s="9"/>
      <c r="L7" s="9"/>
      <c r="M7" s="9"/>
      <c r="N7" s="10"/>
      <c r="O7" s="10"/>
      <c r="P7" s="10"/>
      <c r="Q7" s="10"/>
      <c r="R7" s="10"/>
      <c r="S7" s="10"/>
      <c r="T7" s="8"/>
      <c r="U7" s="8"/>
      <c r="V7" s="8"/>
      <c r="W7" s="8"/>
      <c r="X7" s="8"/>
      <c r="Y7" s="8"/>
      <c r="Z7" s="8"/>
      <c r="AA7" s="8"/>
      <c r="AB7" s="11"/>
      <c r="AC7" s="11"/>
      <c r="AD7" s="12"/>
      <c r="AE7" s="12"/>
      <c r="AF7" s="12"/>
      <c r="AG7" s="13"/>
      <c r="AH7" s="14"/>
      <c r="AI7" s="15"/>
      <c r="AJ7" s="15"/>
      <c r="AK7" s="15"/>
      <c r="AL7" s="15"/>
      <c r="AM7" s="15"/>
      <c r="AN7" s="15"/>
      <c r="AO7" s="15"/>
      <c r="AP7" s="15"/>
      <c r="AQ7" s="5"/>
      <c r="AR7" s="5"/>
      <c r="AS7" s="5"/>
      <c r="AT7" s="5"/>
    </row>
    <row r="8" spans="2:49" ht="21" customHeight="1" x14ac:dyDescent="0.25">
      <c r="B8" s="16" t="s">
        <v>160</v>
      </c>
      <c r="C8" s="17"/>
      <c r="D8" s="17"/>
      <c r="E8" s="17"/>
      <c r="F8" s="17"/>
      <c r="G8" s="18"/>
      <c r="H8" s="17"/>
      <c r="I8" s="17"/>
      <c r="J8" s="17"/>
      <c r="K8" s="17"/>
      <c r="P8" s="17"/>
      <c r="Q8" s="17"/>
      <c r="R8" s="17"/>
      <c r="S8" s="17"/>
      <c r="T8" s="17"/>
      <c r="U8" s="17"/>
      <c r="V8" s="17"/>
      <c r="W8" s="17"/>
      <c r="X8" s="17"/>
      <c r="Y8" s="17"/>
      <c r="Z8" s="17"/>
      <c r="AA8" s="17"/>
      <c r="AB8" s="17"/>
      <c r="AC8" s="17"/>
      <c r="AD8" s="19"/>
      <c r="AE8" s="19"/>
      <c r="AF8" s="19"/>
      <c r="AG8" s="20"/>
      <c r="AH8" s="15"/>
      <c r="AI8" s="15"/>
      <c r="AJ8" s="15"/>
      <c r="AK8" s="15"/>
      <c r="AL8" s="15"/>
      <c r="AM8" s="15"/>
      <c r="AN8" s="15"/>
      <c r="AO8" s="15"/>
      <c r="AP8" s="15"/>
      <c r="AQ8" s="5"/>
      <c r="AR8" s="5"/>
      <c r="AS8" s="5"/>
      <c r="AT8" s="5"/>
    </row>
    <row r="9" spans="2:49" x14ac:dyDescent="0.25">
      <c r="B9" t="s">
        <v>0</v>
      </c>
      <c r="C9" s="17" t="s">
        <v>6</v>
      </c>
      <c r="D9" s="112"/>
      <c r="E9" s="17"/>
      <c r="F9" s="17"/>
      <c r="G9" s="18"/>
      <c r="H9" s="17" t="s">
        <v>3</v>
      </c>
      <c r="I9" s="17" t="s">
        <v>6</v>
      </c>
      <c r="J9" s="113"/>
      <c r="K9" s="21"/>
      <c r="R9" s="17" t="s">
        <v>13</v>
      </c>
      <c r="S9" s="17" t="s">
        <v>6</v>
      </c>
      <c r="T9" s="116"/>
      <c r="U9" s="17"/>
      <c r="V9" s="17"/>
      <c r="W9" s="17" t="s">
        <v>20</v>
      </c>
      <c r="X9" s="17" t="s">
        <v>6</v>
      </c>
      <c r="Y9" s="113">
        <v>0.34</v>
      </c>
      <c r="Z9" s="21"/>
      <c r="AB9" s="22" t="s">
        <v>161</v>
      </c>
      <c r="AC9" s="3" t="s">
        <v>6</v>
      </c>
      <c r="AD9" s="116"/>
      <c r="AE9" s="23"/>
      <c r="AF9" s="145" t="s">
        <v>158</v>
      </c>
      <c r="AG9" s="20" t="s">
        <v>6</v>
      </c>
      <c r="AH9" s="24">
        <f>ROUND(LOA*0.42,2)</f>
        <v>0</v>
      </c>
      <c r="AI9" s="15"/>
      <c r="AJ9" s="15"/>
      <c r="AK9" s="15"/>
      <c r="AL9" s="15"/>
      <c r="AM9" s="15"/>
      <c r="AN9" s="15"/>
      <c r="AO9" s="15"/>
      <c r="AP9" s="15"/>
      <c r="AQ9" s="5"/>
      <c r="AR9" s="5"/>
      <c r="AS9" s="5"/>
      <c r="AT9" s="5"/>
    </row>
    <row r="10" spans="2:49" x14ac:dyDescent="0.25">
      <c r="B10" s="17" t="s">
        <v>1</v>
      </c>
      <c r="C10" s="17" t="s">
        <v>6</v>
      </c>
      <c r="D10" s="113"/>
      <c r="E10" s="17"/>
      <c r="F10" s="17"/>
      <c r="G10" s="18"/>
      <c r="H10" s="25" t="s">
        <v>10</v>
      </c>
      <c r="I10" s="25" t="s">
        <v>6</v>
      </c>
      <c r="J10" s="118"/>
      <c r="K10" s="25"/>
      <c r="L10" s="26" t="s">
        <v>33</v>
      </c>
      <c r="M10" s="25"/>
      <c r="N10" s="27" t="s">
        <v>158</v>
      </c>
      <c r="O10" s="28"/>
      <c r="P10" s="5"/>
      <c r="R10" s="17" t="s">
        <v>14</v>
      </c>
      <c r="S10" s="29" t="s">
        <v>6</v>
      </c>
      <c r="T10" s="116"/>
      <c r="U10" s="25"/>
      <c r="V10" s="25"/>
      <c r="W10" s="17" t="s">
        <v>23</v>
      </c>
      <c r="X10" s="29" t="s">
        <v>6</v>
      </c>
      <c r="Y10" s="115"/>
      <c r="Z10" s="21"/>
      <c r="AB10" s="22" t="s">
        <v>30</v>
      </c>
      <c r="AC10" s="22" t="s">
        <v>6</v>
      </c>
      <c r="AD10" s="115"/>
      <c r="AE10" s="30"/>
      <c r="AF10" s="146" t="s">
        <v>158</v>
      </c>
      <c r="AG10" s="20" t="s">
        <v>6</v>
      </c>
      <c r="AH10" s="32">
        <f>ROUND(1.05*LOA,2)</f>
        <v>0</v>
      </c>
      <c r="AI10" s="15"/>
      <c r="AJ10" s="15"/>
      <c r="AK10" s="15"/>
      <c r="AL10" s="15"/>
      <c r="AM10" s="15"/>
      <c r="AN10" s="15"/>
      <c r="AO10" s="15"/>
      <c r="AP10" s="15"/>
      <c r="AQ10" s="5"/>
      <c r="AR10" s="5"/>
      <c r="AS10" s="5"/>
      <c r="AT10" s="5"/>
    </row>
    <row r="11" spans="2:49" x14ac:dyDescent="0.25">
      <c r="B11" s="17" t="s">
        <v>2</v>
      </c>
      <c r="C11" s="17" t="s">
        <v>6</v>
      </c>
      <c r="D11" s="21">
        <f>LOA-OV-OA</f>
        <v>0</v>
      </c>
      <c r="H11" s="25" t="s">
        <v>8</v>
      </c>
      <c r="I11" s="25" t="s">
        <v>6</v>
      </c>
      <c r="J11" s="117"/>
      <c r="K11" s="25"/>
      <c r="L11" s="33">
        <f>ROUND(0.07*LOA,2)</f>
        <v>0</v>
      </c>
      <c r="M11" s="17" t="s">
        <v>32</v>
      </c>
      <c r="N11" s="32">
        <f>ROUND(IF(LWL&lt;13,((16.5-0.5*LWL)*LOA/100),IF(LWL&gt;=13,(0.1*LOA))),2)</f>
        <v>0</v>
      </c>
      <c r="O11" s="34"/>
      <c r="P11" s="5"/>
      <c r="R11" s="25" t="s">
        <v>11</v>
      </c>
      <c r="S11" s="17" t="s">
        <v>6</v>
      </c>
      <c r="T11" s="113"/>
      <c r="W11" s="17" t="s">
        <v>24</v>
      </c>
      <c r="X11" s="17" t="s">
        <v>6</v>
      </c>
      <c r="Y11" s="113"/>
      <c r="Z11" s="21"/>
      <c r="AB11" s="17" t="s">
        <v>31</v>
      </c>
      <c r="AC11" s="5" t="s">
        <v>6</v>
      </c>
      <c r="AD11" s="113"/>
      <c r="AE11" s="21"/>
      <c r="AF11" s="31"/>
      <c r="AG11" s="20"/>
      <c r="AH11" s="35"/>
      <c r="AI11" s="15"/>
      <c r="AJ11" s="15"/>
      <c r="AK11" s="15"/>
      <c r="AL11" s="15"/>
      <c r="AM11" s="15"/>
      <c r="AN11" s="15"/>
      <c r="AO11" s="15"/>
      <c r="AP11" s="15"/>
      <c r="AQ11" s="5"/>
      <c r="AR11" s="5"/>
      <c r="AS11" s="5"/>
      <c r="AT11" s="5"/>
      <c r="AU11" s="5"/>
      <c r="AV11" s="5"/>
      <c r="AW11" s="5"/>
    </row>
    <row r="12" spans="2:49" x14ac:dyDescent="0.25">
      <c r="B12" s="17" t="s">
        <v>15</v>
      </c>
      <c r="C12" s="29" t="s">
        <v>6</v>
      </c>
      <c r="D12" s="114"/>
      <c r="E12" s="17"/>
      <c r="F12" s="17"/>
      <c r="G12" s="18"/>
      <c r="H12" s="25" t="s">
        <v>9</v>
      </c>
      <c r="I12" s="25" t="s">
        <v>6</v>
      </c>
      <c r="J12" s="117"/>
      <c r="K12" s="25"/>
      <c r="L12" s="33">
        <f>ROUND(0.04*LOA,2)</f>
        <v>0</v>
      </c>
      <c r="M12" s="17" t="s">
        <v>32</v>
      </c>
      <c r="N12" s="32">
        <f>ROUND(0.075*LOA,2)</f>
        <v>0</v>
      </c>
      <c r="O12" s="34"/>
      <c r="P12" s="17"/>
      <c r="Q12" s="17"/>
      <c r="R12" s="17" t="s">
        <v>5</v>
      </c>
      <c r="S12" s="29" t="s">
        <v>6</v>
      </c>
      <c r="T12" s="118"/>
      <c r="W12" s="17" t="s">
        <v>262</v>
      </c>
      <c r="X12" s="17" t="s">
        <v>6</v>
      </c>
      <c r="Y12" s="113"/>
      <c r="Z12" s="17"/>
      <c r="AB12" s="17" t="s">
        <v>78</v>
      </c>
      <c r="AC12" s="3" t="s">
        <v>6</v>
      </c>
      <c r="AD12" s="120"/>
      <c r="AE12" s="36"/>
      <c r="AF12" s="31"/>
      <c r="AG12" s="20"/>
      <c r="AH12" s="35"/>
      <c r="AI12" s="15"/>
      <c r="AJ12" s="15"/>
      <c r="AK12" s="15"/>
      <c r="AM12" s="15"/>
      <c r="AN12" s="15"/>
      <c r="AO12" s="15"/>
      <c r="AP12" s="15"/>
      <c r="AQ12" s="5"/>
      <c r="AR12" s="5"/>
      <c r="AS12" s="5"/>
      <c r="AT12" s="5"/>
      <c r="AU12" s="5"/>
      <c r="AV12" s="5"/>
      <c r="AW12" s="5"/>
    </row>
    <row r="13" spans="2:49" x14ac:dyDescent="0.25">
      <c r="B13" s="17" t="s">
        <v>4</v>
      </c>
      <c r="C13" s="17" t="s">
        <v>6</v>
      </c>
      <c r="D13" s="115"/>
      <c r="E13" s="16"/>
      <c r="F13" s="16"/>
      <c r="G13" s="16"/>
      <c r="H13" s="25" t="s">
        <v>7</v>
      </c>
      <c r="I13" s="25" t="s">
        <v>6</v>
      </c>
      <c r="J13" s="116"/>
      <c r="K13" s="37"/>
      <c r="L13" s="33">
        <f>ROUND(IF(L&lt;15,(LWL/(0.078*L+2.134)),IF(L&gt;=15,LWL/3.3)),2)</f>
        <v>0</v>
      </c>
      <c r="M13" s="17" t="s">
        <v>32</v>
      </c>
      <c r="N13" s="32">
        <f>ROUND(IF(L&lt;15,(LWL/(0.078*L+1.73)),IF(L&gt;=15,LWL/2.9)),2)</f>
        <v>0</v>
      </c>
      <c r="O13" s="34"/>
      <c r="P13" s="17"/>
      <c r="Q13" s="17"/>
      <c r="R13" s="17" t="s">
        <v>41</v>
      </c>
      <c r="S13" s="17" t="s">
        <v>6</v>
      </c>
      <c r="T13" s="119"/>
      <c r="V13" s="145" t="s">
        <v>184</v>
      </c>
      <c r="W13" s="32">
        <f>+(LWL / 4.55) ^ 3</f>
        <v>0</v>
      </c>
      <c r="Z13" s="17"/>
      <c r="AB13" s="17" t="s">
        <v>159</v>
      </c>
      <c r="AC13" s="3" t="s">
        <v>6</v>
      </c>
      <c r="AD13" s="113"/>
      <c r="AE13" s="21"/>
      <c r="AF13" s="146" t="s">
        <v>158</v>
      </c>
      <c r="AG13" s="20" t="s">
        <v>6</v>
      </c>
      <c r="AH13" s="32">
        <f>ROUND(1.5*J,2)</f>
        <v>0</v>
      </c>
      <c r="AI13" s="15"/>
      <c r="AJ13" s="15"/>
      <c r="AK13" s="15"/>
      <c r="AM13" s="15"/>
      <c r="AN13" s="15"/>
      <c r="AO13" s="15"/>
      <c r="AP13" s="15"/>
      <c r="AQ13" s="5"/>
      <c r="AR13" s="5"/>
      <c r="AS13" s="5"/>
      <c r="AT13" s="5"/>
      <c r="AU13" s="5"/>
      <c r="AV13" s="5"/>
      <c r="AW13" s="5"/>
    </row>
    <row r="14" spans="2:49" ht="9" customHeight="1" x14ac:dyDescent="0.25">
      <c r="K14" s="5"/>
      <c r="R14" s="17"/>
      <c r="S14" s="5"/>
      <c r="AA14" s="38"/>
      <c r="AF14" s="25"/>
      <c r="AG14" s="25"/>
      <c r="AH14" s="22"/>
      <c r="AI14" s="17"/>
      <c r="AJ14" s="17"/>
      <c r="AK14" s="17"/>
      <c r="AM14" s="17"/>
      <c r="AN14" s="17"/>
      <c r="AO14" s="5"/>
      <c r="AP14" s="5"/>
      <c r="AQ14" s="5"/>
      <c r="AR14" s="5"/>
      <c r="AS14" s="5"/>
      <c r="AT14" s="5"/>
      <c r="AU14" s="5"/>
      <c r="AV14" s="5"/>
      <c r="AW14" s="5"/>
    </row>
    <row r="15" spans="2:49" ht="21" customHeight="1" thickBot="1" x14ac:dyDescent="0.3">
      <c r="B15" s="147" t="s">
        <v>114</v>
      </c>
      <c r="C15" s="40"/>
      <c r="D15" s="40"/>
      <c r="E15" s="39"/>
      <c r="F15" s="39">
        <f>ROUND(LWL,0)</f>
        <v>0</v>
      </c>
      <c r="G15" s="39" t="s">
        <v>126</v>
      </c>
      <c r="H15" s="41"/>
      <c r="I15" s="41"/>
      <c r="J15" s="40"/>
      <c r="K15" s="39"/>
      <c r="L15" s="147" t="s">
        <v>26</v>
      </c>
      <c r="M15" s="39"/>
      <c r="N15" s="39"/>
      <c r="O15" s="39"/>
      <c r="P15" s="40"/>
      <c r="Q15" s="40"/>
      <c r="R15" s="42">
        <f>0.002*LWL^2*BWL*CW*1000</f>
        <v>0</v>
      </c>
      <c r="S15" s="39" t="s">
        <v>27</v>
      </c>
      <c r="T15" s="41"/>
      <c r="U15" s="41"/>
      <c r="V15" s="41"/>
      <c r="W15" s="41"/>
      <c r="X15" s="41"/>
      <c r="Y15" s="41"/>
      <c r="Z15" s="11"/>
      <c r="AA15" s="41"/>
      <c r="AB15" s="41"/>
      <c r="AC15" s="41"/>
      <c r="AD15" s="41"/>
      <c r="AE15" s="11"/>
      <c r="AF15" s="11"/>
      <c r="AG15" s="43"/>
      <c r="AH15" s="43"/>
      <c r="AI15" s="17"/>
      <c r="AJ15" s="17"/>
      <c r="AK15" s="17"/>
      <c r="AM15" s="17"/>
      <c r="AN15" s="17"/>
      <c r="AO15" s="5"/>
      <c r="AP15" s="5"/>
      <c r="AQ15" s="5"/>
      <c r="AR15" s="5"/>
      <c r="AS15" s="5"/>
      <c r="AT15" s="5"/>
      <c r="AU15" s="5"/>
      <c r="AV15" s="5"/>
    </row>
    <row r="16" spans="2:49" ht="7.5" customHeight="1" x14ac:dyDescent="0.25">
      <c r="B16" s="16"/>
      <c r="C16" s="16"/>
      <c r="D16" s="16"/>
      <c r="E16" s="17"/>
      <c r="F16" s="17"/>
      <c r="G16" s="18"/>
      <c r="H16" s="5"/>
      <c r="I16" s="5"/>
      <c r="K16" s="5"/>
      <c r="L16" s="44"/>
      <c r="R16" s="17"/>
      <c r="S16" s="38"/>
      <c r="X16" s="45"/>
      <c r="Y16" s="45"/>
      <c r="Z16" s="45"/>
      <c r="AA16" s="17"/>
      <c r="AB16" s="29"/>
      <c r="AC16" s="21"/>
      <c r="AD16" s="17"/>
      <c r="AE16" s="17"/>
      <c r="AF16" s="17"/>
      <c r="AG16" s="22"/>
      <c r="AH16" s="22"/>
      <c r="AL16" s="17"/>
      <c r="AM16" s="17"/>
      <c r="AN16" s="17"/>
      <c r="AO16" s="5"/>
      <c r="AP16" s="5"/>
      <c r="AQ16" s="5"/>
      <c r="AR16" s="5"/>
      <c r="AS16" s="5"/>
      <c r="AT16" s="5"/>
      <c r="AU16" s="5"/>
      <c r="AV16" s="5"/>
    </row>
    <row r="17" spans="2:48" x14ac:dyDescent="0.25">
      <c r="B17" s="16" t="s">
        <v>162</v>
      </c>
      <c r="C17" s="17"/>
      <c r="D17" s="17"/>
      <c r="E17" s="17"/>
      <c r="F17" s="17"/>
      <c r="G17" s="18"/>
      <c r="K17" s="5"/>
      <c r="L17" s="46"/>
      <c r="M17" s="17"/>
      <c r="N17" s="17"/>
      <c r="O17" s="17"/>
      <c r="P17" s="17"/>
      <c r="Q17" s="17"/>
      <c r="R17" s="17"/>
      <c r="S17" s="17"/>
      <c r="T17" s="38"/>
      <c r="U17" s="38"/>
      <c r="V17" s="38"/>
      <c r="W17" s="38"/>
      <c r="X17" s="37"/>
      <c r="Y17" s="37"/>
      <c r="Z17" s="37"/>
      <c r="AA17" s="47"/>
      <c r="AB17" s="48" t="s">
        <v>169</v>
      </c>
      <c r="AC17" s="17"/>
      <c r="AD17" s="17"/>
      <c r="AE17" s="17"/>
      <c r="AF17" s="17"/>
      <c r="AG17" s="22"/>
      <c r="AH17" s="22"/>
      <c r="AI17" s="17"/>
      <c r="AJ17" s="17"/>
      <c r="AK17" s="17"/>
      <c r="AL17" s="29"/>
      <c r="AM17" s="22"/>
      <c r="AN17" s="17"/>
      <c r="AO17" s="17"/>
      <c r="AP17" s="5"/>
      <c r="AQ17" s="5"/>
      <c r="AR17" s="5"/>
      <c r="AS17" s="5"/>
      <c r="AT17" s="5"/>
      <c r="AU17" s="5"/>
      <c r="AV17" s="5"/>
    </row>
    <row r="18" spans="2:48" s="5" customFormat="1" x14ac:dyDescent="0.25">
      <c r="B18" s="49" t="s">
        <v>28</v>
      </c>
      <c r="C18" s="49"/>
      <c r="D18" s="49"/>
      <c r="E18" s="49"/>
      <c r="F18" s="49"/>
      <c r="G18" s="49"/>
      <c r="H18" s="49"/>
      <c r="I18" s="49"/>
      <c r="J18" s="49"/>
      <c r="K18" s="49"/>
      <c r="L18" s="49" t="s">
        <v>163</v>
      </c>
      <c r="M18" s="49"/>
      <c r="N18" s="49"/>
      <c r="O18" s="49"/>
      <c r="P18" s="49"/>
      <c r="Q18" s="49"/>
      <c r="R18" s="17"/>
      <c r="S18" s="17"/>
      <c r="W18" s="16" t="s">
        <v>164</v>
      </c>
      <c r="X18" s="17"/>
      <c r="Y18" s="17"/>
      <c r="Z18" s="17"/>
      <c r="AA18" s="47"/>
      <c r="AB18" s="17" t="s">
        <v>55</v>
      </c>
      <c r="AC18" s="38" t="s">
        <v>6</v>
      </c>
      <c r="AD18" s="30">
        <f>MG+MV+MK</f>
        <v>0</v>
      </c>
      <c r="AE18" s="30"/>
      <c r="AF18" s="50" t="e">
        <f>(GZVmin*D^(1/3))^2</f>
        <v>#DIV/0!</v>
      </c>
      <c r="AG18" s="17" t="s">
        <v>32</v>
      </c>
      <c r="AH18" s="24" t="e">
        <f>+(4.35*(D^(1/3)))^2</f>
        <v>#DIV/0!</v>
      </c>
      <c r="AI18" s="3"/>
      <c r="AK18" s="51"/>
      <c r="AL18" s="51"/>
      <c r="AN18" s="51"/>
      <c r="AO18" s="17"/>
      <c r="AP18" s="17"/>
      <c r="AQ18" s="17"/>
      <c r="AR18" s="17"/>
      <c r="AS18" s="17"/>
      <c r="AT18" s="17"/>
      <c r="AU18" s="17"/>
      <c r="AV18" s="17"/>
    </row>
    <row r="19" spans="2:48" x14ac:dyDescent="0.25">
      <c r="B19" s="38" t="s">
        <v>51</v>
      </c>
      <c r="C19" s="25" t="s">
        <v>6</v>
      </c>
      <c r="D19" s="115"/>
      <c r="F19" s="52" t="s">
        <v>186</v>
      </c>
      <c r="G19" s="17" t="s">
        <v>32</v>
      </c>
      <c r="H19" s="32">
        <f>ROUND(0.48*GOL,2)</f>
        <v>0</v>
      </c>
      <c r="K19" s="50"/>
      <c r="L19" s="18" t="s">
        <v>57</v>
      </c>
      <c r="M19" s="25" t="s">
        <v>6</v>
      </c>
      <c r="N19" s="121"/>
      <c r="O19" s="32"/>
      <c r="P19" s="17"/>
      <c r="Q19" s="17"/>
      <c r="R19" s="17"/>
      <c r="S19" s="17"/>
      <c r="W19" s="17" t="s">
        <v>59</v>
      </c>
      <c r="X19" s="38" t="s">
        <v>6</v>
      </c>
      <c r="Y19" s="122"/>
      <c r="Z19" s="53"/>
      <c r="AA19" s="54"/>
      <c r="AB19" s="55" t="s">
        <v>37</v>
      </c>
      <c r="AC19" s="17" t="s">
        <v>6</v>
      </c>
      <c r="AD19" s="56" t="e">
        <f>(1.015*PG+FH*TV)*1.005</f>
        <v>#DIV/0!</v>
      </c>
      <c r="AE19" s="56"/>
      <c r="AF19" s="23" t="s">
        <v>166</v>
      </c>
      <c r="AG19" s="5" t="s">
        <v>6</v>
      </c>
      <c r="AH19" s="32" t="e">
        <f>(1.015*PG+TV)*1.005</f>
        <v>#DIV/0!</v>
      </c>
      <c r="AI19" s="17"/>
      <c r="AJ19" s="17"/>
      <c r="AK19" s="17"/>
      <c r="AL19" s="17"/>
      <c r="AM19" s="17"/>
      <c r="AN19" s="17"/>
      <c r="AO19" s="17"/>
      <c r="AP19" s="17"/>
      <c r="AQ19" s="17"/>
      <c r="AR19" s="17"/>
      <c r="AS19" s="17"/>
      <c r="AT19" s="17"/>
      <c r="AU19" s="17"/>
      <c r="AV19" s="17"/>
    </row>
    <row r="20" spans="2:48" x14ac:dyDescent="0.25">
      <c r="B20" s="38" t="s">
        <v>125</v>
      </c>
      <c r="C20" s="25" t="s">
        <v>6</v>
      </c>
      <c r="D20" s="113"/>
      <c r="F20" s="50">
        <f>ROUND(0.05*GBL,2)</f>
        <v>0</v>
      </c>
      <c r="G20" s="17" t="s">
        <v>32</v>
      </c>
      <c r="H20" s="22">
        <f>ROUND(0.2*GBL,2)</f>
        <v>0</v>
      </c>
      <c r="K20" s="17"/>
      <c r="L20" s="18" t="s">
        <v>58</v>
      </c>
      <c r="M20" s="25" t="s">
        <v>6</v>
      </c>
      <c r="N20" s="122"/>
      <c r="O20" s="53"/>
      <c r="P20" s="26" t="s">
        <v>33</v>
      </c>
      <c r="Q20" s="25" t="s">
        <v>6</v>
      </c>
      <c r="R20" s="32">
        <f>ROUND((0.87+0.005*(L-11))*IZ,2)</f>
        <v>0</v>
      </c>
      <c r="S20" s="5"/>
      <c r="W20" s="17" t="s">
        <v>60</v>
      </c>
      <c r="X20" s="38" t="s">
        <v>6</v>
      </c>
      <c r="Y20" s="124"/>
      <c r="Z20" s="57"/>
      <c r="AA20" s="54"/>
      <c r="AB20" s="38" t="s">
        <v>40</v>
      </c>
      <c r="AC20" s="17" t="s">
        <v>6</v>
      </c>
      <c r="AD20" s="137" t="e">
        <f>PV+0.75*FVO*KL</f>
        <v>#DIV/0!</v>
      </c>
      <c r="AE20" s="45"/>
      <c r="AF20" s="5"/>
      <c r="AG20" s="17"/>
      <c r="AH20" s="22"/>
      <c r="AI20" s="25"/>
      <c r="AJ20" s="25"/>
      <c r="AK20" s="25"/>
      <c r="AL20" s="25"/>
      <c r="AM20" s="25"/>
      <c r="AN20" s="22"/>
      <c r="AO20" s="17"/>
      <c r="AP20" s="21"/>
      <c r="AQ20" s="17"/>
      <c r="AR20" s="17"/>
      <c r="AS20" s="17"/>
      <c r="AT20" s="17"/>
      <c r="AU20" s="17"/>
      <c r="AV20" s="17"/>
    </row>
    <row r="21" spans="2:48" x14ac:dyDescent="0.25">
      <c r="B21" s="38" t="s">
        <v>49</v>
      </c>
      <c r="C21" s="25" t="s">
        <v>6</v>
      </c>
      <c r="D21" s="115"/>
      <c r="F21" s="26" t="s">
        <v>33</v>
      </c>
      <c r="G21" s="17" t="s">
        <v>6</v>
      </c>
      <c r="H21" s="32">
        <f>ROUND(MAX(GVLmin1,GVLmin2),2)</f>
        <v>0</v>
      </c>
      <c r="K21" s="50"/>
      <c r="L21" s="18" t="s">
        <v>56</v>
      </c>
      <c r="M21" s="25" t="s">
        <v>6</v>
      </c>
      <c r="N21" s="122"/>
      <c r="O21" s="32"/>
      <c r="P21" s="143"/>
      <c r="Q21" s="58"/>
      <c r="R21" s="35"/>
      <c r="S21" s="5"/>
      <c r="X21" s="38"/>
      <c r="AA21" s="54"/>
      <c r="AB21" s="38" t="s">
        <v>62</v>
      </c>
      <c r="AC21" s="38" t="s">
        <v>6</v>
      </c>
      <c r="AD21" s="45" t="e">
        <f>(RV/3.8)^0.6</f>
        <v>#DIV/0!</v>
      </c>
      <c r="AE21" s="45"/>
      <c r="AF21" s="5"/>
      <c r="AG21" s="17"/>
      <c r="AH21" s="22"/>
      <c r="AI21" s="17"/>
      <c r="AJ21" s="17"/>
      <c r="AK21" s="17"/>
      <c r="AL21" s="17"/>
      <c r="AM21" s="17"/>
      <c r="AN21" s="17"/>
      <c r="AO21" s="17"/>
      <c r="AP21" s="17"/>
      <c r="AQ21" s="17"/>
      <c r="AR21" s="17"/>
      <c r="AS21" s="17"/>
      <c r="AT21" s="17"/>
      <c r="AU21" s="17"/>
      <c r="AV21" s="17"/>
    </row>
    <row r="22" spans="2:48" x14ac:dyDescent="0.25">
      <c r="B22" s="38" t="s">
        <v>52</v>
      </c>
      <c r="C22" s="25" t="s">
        <v>6</v>
      </c>
      <c r="D22" s="113"/>
      <c r="E22" s="17"/>
      <c r="F22" s="26" t="s">
        <v>33</v>
      </c>
      <c r="G22" s="18" t="s">
        <v>6</v>
      </c>
      <c r="H22" s="32">
        <f>+ROUND(GVL*0.54,2)</f>
        <v>0</v>
      </c>
      <c r="I22" s="17"/>
      <c r="K22" s="5"/>
      <c r="L22" s="18" t="s">
        <v>65</v>
      </c>
      <c r="N22" s="123"/>
      <c r="O22" s="22"/>
      <c r="P22" s="26" t="s">
        <v>158</v>
      </c>
      <c r="Q22" s="25" t="s">
        <v>6</v>
      </c>
      <c r="R22" s="32">
        <f>ROUND(0.025*FOL,2)</f>
        <v>0</v>
      </c>
      <c r="S22" s="5"/>
      <c r="U22" s="38"/>
      <c r="V22" s="38"/>
      <c r="W22" s="38"/>
      <c r="X22" s="38"/>
      <c r="AA22" s="54"/>
      <c r="AB22" s="17" t="s">
        <v>61</v>
      </c>
      <c r="AC22" s="38" t="s">
        <v>6</v>
      </c>
      <c r="AD22" s="137">
        <f>1/4*SQRT((FVL+FAL+FOL)*(-FVL+FAL+FOL)*(FVL-FAL+FOL)*(FVL+FAL-FOL))+1/2*(FAL*TP)</f>
        <v>0</v>
      </c>
      <c r="AE22" s="45"/>
      <c r="AF22" s="5"/>
      <c r="AG22" s="17"/>
      <c r="AH22" s="17"/>
      <c r="AI22" s="17"/>
      <c r="AJ22" s="17"/>
      <c r="AK22" s="17"/>
      <c r="AL22" s="17"/>
      <c r="AM22" s="17"/>
      <c r="AN22" s="17"/>
      <c r="AO22" s="17"/>
      <c r="AP22" s="17"/>
      <c r="AQ22" s="17"/>
      <c r="AR22" s="17"/>
      <c r="AS22" s="17"/>
      <c r="AT22" s="17"/>
      <c r="AU22" s="17"/>
      <c r="AV22" s="17"/>
    </row>
    <row r="23" spans="2:48" x14ac:dyDescent="0.25">
      <c r="B23" s="38" t="s">
        <v>63</v>
      </c>
      <c r="C23" s="25" t="s">
        <v>6</v>
      </c>
      <c r="D23" s="115"/>
      <c r="E23" s="17"/>
      <c r="F23" s="17"/>
      <c r="G23" s="18"/>
      <c r="H23" s="17"/>
      <c r="I23" s="17"/>
      <c r="P23" s="144"/>
      <c r="Q23" s="5"/>
      <c r="R23" s="22"/>
      <c r="S23" s="17"/>
      <c r="T23" s="17"/>
      <c r="U23" s="38"/>
      <c r="V23" s="38"/>
      <c r="W23" s="38"/>
      <c r="X23" s="38"/>
      <c r="AA23" s="54"/>
      <c r="AB23" s="38" t="s">
        <v>54</v>
      </c>
      <c r="AC23" s="25" t="s">
        <v>6</v>
      </c>
      <c r="AD23" s="30">
        <f>KL</f>
        <v>0</v>
      </c>
      <c r="AE23" s="59"/>
      <c r="AF23" s="5"/>
      <c r="AG23" s="17"/>
      <c r="AH23" s="17"/>
      <c r="AI23" s="25"/>
      <c r="AJ23" s="25"/>
      <c r="AK23" s="25"/>
      <c r="AL23" s="25"/>
      <c r="AM23" s="25"/>
      <c r="AN23" s="22"/>
      <c r="AO23" s="17"/>
      <c r="AP23" s="17"/>
      <c r="AQ23" s="17"/>
      <c r="AR23" s="17"/>
      <c r="AS23" s="17"/>
      <c r="AT23" s="17"/>
      <c r="AU23" s="17"/>
      <c r="AV23" s="17"/>
    </row>
    <row r="24" spans="2:48" x14ac:dyDescent="0.25">
      <c r="B24" s="38" t="s">
        <v>50</v>
      </c>
      <c r="C24" s="25" t="s">
        <v>6</v>
      </c>
      <c r="D24" s="113"/>
      <c r="E24" s="17"/>
      <c r="F24" s="17"/>
      <c r="G24" s="18"/>
      <c r="H24" s="17"/>
      <c r="I24" s="17"/>
      <c r="L24" s="60" t="s">
        <v>165</v>
      </c>
      <c r="P24" s="144"/>
      <c r="Q24" s="5"/>
      <c r="R24" s="22"/>
      <c r="S24" s="17"/>
      <c r="U24" s="38"/>
      <c r="V24" s="38"/>
      <c r="W24" s="38"/>
      <c r="X24" s="38"/>
      <c r="AA24" s="54"/>
      <c r="AB24" s="17" t="s">
        <v>21</v>
      </c>
      <c r="AC24" s="25" t="s">
        <v>6</v>
      </c>
      <c r="AD24" s="61" t="e">
        <f>LE*FZD*FZV*FZN*FS*FRV</f>
        <v>#DIV/0!</v>
      </c>
      <c r="AE24" s="61"/>
      <c r="AF24" s="5"/>
      <c r="AG24" s="17"/>
      <c r="AH24" s="17"/>
      <c r="AI24" s="25"/>
      <c r="AJ24" s="25"/>
      <c r="AK24" s="25"/>
      <c r="AL24" s="25"/>
      <c r="AM24" s="25"/>
      <c r="AN24" s="22"/>
      <c r="AO24" s="17"/>
      <c r="AP24" s="17"/>
      <c r="AQ24" s="17"/>
      <c r="AR24" s="17"/>
      <c r="AS24" s="17"/>
      <c r="AT24" s="17"/>
      <c r="AU24" s="17"/>
      <c r="AV24" s="17"/>
    </row>
    <row r="25" spans="2:48" x14ac:dyDescent="0.25">
      <c r="B25" s="38" t="s">
        <v>48</v>
      </c>
      <c r="C25" s="25" t="s">
        <v>6</v>
      </c>
      <c r="D25" s="113"/>
      <c r="E25" s="17"/>
      <c r="F25" s="17"/>
      <c r="G25" s="18"/>
      <c r="H25" s="17"/>
      <c r="I25" s="17"/>
      <c r="L25" s="62" t="s">
        <v>68</v>
      </c>
      <c r="M25" s="25" t="s">
        <v>6</v>
      </c>
      <c r="N25" s="121"/>
      <c r="O25" s="22"/>
      <c r="P25" s="26" t="s">
        <v>158</v>
      </c>
      <c r="Q25" s="25" t="s">
        <v>6</v>
      </c>
      <c r="R25" s="32">
        <f>ROUND(0.94*SQRT((1.17*IZ)^2+(J+KLB)^2),2)</f>
        <v>0</v>
      </c>
      <c r="S25" s="5"/>
      <c r="U25" s="38"/>
      <c r="V25" s="38"/>
      <c r="W25" s="38"/>
      <c r="X25" s="38"/>
      <c r="AA25" s="54"/>
      <c r="AB25" s="18" t="s">
        <v>12</v>
      </c>
      <c r="AC25" s="63" t="s">
        <v>6</v>
      </c>
      <c r="AD25" s="64" t="e">
        <f>(GOZ*7*HA)/RM</f>
        <v>#DIV/0!</v>
      </c>
      <c r="AE25" s="64"/>
      <c r="AF25" s="5"/>
      <c r="AG25" s="17"/>
      <c r="AH25" s="17"/>
      <c r="AI25" s="25"/>
      <c r="AJ25" s="25"/>
      <c r="AK25" s="25"/>
      <c r="AL25" s="25"/>
      <c r="AM25" s="25"/>
      <c r="AN25" s="22"/>
      <c r="AO25" s="17"/>
      <c r="AP25" s="17"/>
      <c r="AQ25" s="17"/>
      <c r="AR25" s="17"/>
      <c r="AS25" s="17"/>
      <c r="AT25" s="17"/>
      <c r="AU25" s="17"/>
      <c r="AV25" s="17"/>
    </row>
    <row r="26" spans="2:48" x14ac:dyDescent="0.25">
      <c r="B26" s="38" t="s">
        <v>64</v>
      </c>
      <c r="C26" s="25" t="s">
        <v>6</v>
      </c>
      <c r="D26" s="115"/>
      <c r="E26" s="17"/>
      <c r="F26" s="17"/>
      <c r="G26" s="18"/>
      <c r="H26" s="17"/>
      <c r="I26" s="17"/>
      <c r="L26" s="62" t="s">
        <v>66</v>
      </c>
      <c r="M26" s="25" t="s">
        <v>6</v>
      </c>
      <c r="N26" s="121"/>
      <c r="O26" s="22"/>
      <c r="P26" s="26" t="s">
        <v>158</v>
      </c>
      <c r="Q26" s="25" t="s">
        <v>6</v>
      </c>
      <c r="R26" s="32">
        <f>ROUND(1.5*(KLB+J),2)</f>
        <v>0</v>
      </c>
      <c r="S26" s="5"/>
      <c r="U26" s="38"/>
      <c r="V26" s="38"/>
      <c r="W26" s="38"/>
      <c r="X26" s="38"/>
      <c r="AA26" s="54"/>
      <c r="AB26" s="18" t="s">
        <v>25</v>
      </c>
      <c r="AC26" s="63" t="s">
        <v>6</v>
      </c>
      <c r="AD26" s="161" t="e">
        <f>1-(CS*DS)/(0.05*LWL)</f>
        <v>#DIV/0!</v>
      </c>
      <c r="AE26" s="64"/>
      <c r="AF26" s="5"/>
      <c r="AG26" s="29"/>
      <c r="AH26" s="17"/>
      <c r="AI26" s="17"/>
      <c r="AJ26" s="17"/>
      <c r="AK26" s="17"/>
      <c r="AL26" s="17"/>
      <c r="AM26" s="17"/>
      <c r="AN26" s="17"/>
      <c r="AO26" s="17"/>
      <c r="AP26" s="17"/>
      <c r="AQ26" s="17"/>
      <c r="AR26" s="17"/>
      <c r="AS26" s="17"/>
      <c r="AT26" s="17"/>
      <c r="AU26" s="17"/>
      <c r="AV26" s="17"/>
    </row>
    <row r="27" spans="2:48" x14ac:dyDescent="0.25">
      <c r="B27" s="38" t="s">
        <v>44</v>
      </c>
      <c r="C27" s="25" t="s">
        <v>6</v>
      </c>
      <c r="D27" s="50">
        <f>MAX(MGK,MGT)</f>
        <v>0</v>
      </c>
      <c r="E27" s="22"/>
      <c r="F27" s="22"/>
      <c r="G27" s="46"/>
      <c r="H27" s="22"/>
      <c r="I27" s="57"/>
      <c r="L27" s="62" t="s">
        <v>67</v>
      </c>
      <c r="M27" s="25" t="s">
        <v>6</v>
      </c>
      <c r="N27" s="123"/>
      <c r="O27" s="22"/>
      <c r="P27" s="30">
        <f>ROUND(0.55*HOL,2)</f>
        <v>0</v>
      </c>
      <c r="Q27" s="17" t="s">
        <v>32</v>
      </c>
      <c r="R27" s="32">
        <f>ROUND(0.7*HOL,2)</f>
        <v>0</v>
      </c>
      <c r="S27" s="5"/>
      <c r="U27" s="38"/>
      <c r="V27" s="38"/>
      <c r="W27" s="38"/>
      <c r="X27" s="38"/>
      <c r="AA27" s="54"/>
      <c r="AB27" s="18" t="s">
        <v>16</v>
      </c>
      <c r="AC27" s="63" t="s">
        <v>6</v>
      </c>
      <c r="AD27" s="45">
        <f>(1.75*LWL+LR)/2.75</f>
        <v>0</v>
      </c>
      <c r="AE27" s="45"/>
      <c r="AF27" s="5"/>
      <c r="AG27" s="29"/>
      <c r="AH27" s="17"/>
      <c r="AI27" s="17"/>
      <c r="AJ27" s="17"/>
      <c r="AK27" s="17"/>
      <c r="AL27" s="17"/>
      <c r="AM27" s="17"/>
      <c r="AN27" s="17"/>
      <c r="AO27" s="17"/>
      <c r="AP27" s="17"/>
      <c r="AQ27" s="17"/>
      <c r="AR27" s="17"/>
      <c r="AS27" s="17"/>
      <c r="AT27" s="17"/>
      <c r="AU27" s="17"/>
      <c r="AV27" s="17"/>
    </row>
    <row r="28" spans="2:48" x14ac:dyDescent="0.25">
      <c r="B28" s="17" t="s">
        <v>42</v>
      </c>
      <c r="C28" s="25" t="s">
        <v>6</v>
      </c>
      <c r="D28" s="59" t="e">
        <f>(RG/3.4)^0.8</f>
        <v>#DIV/0!</v>
      </c>
      <c r="E28" s="22"/>
      <c r="F28" s="22"/>
      <c r="G28" s="46"/>
      <c r="H28" s="22"/>
      <c r="I28" s="57"/>
      <c r="S28" s="5"/>
      <c r="U28" s="38"/>
      <c r="V28" s="38"/>
      <c r="W28" s="38"/>
      <c r="X28" s="38"/>
      <c r="AA28" s="54"/>
      <c r="AB28" s="65" t="s">
        <v>258</v>
      </c>
      <c r="AC28" s="25" t="s">
        <v>6</v>
      </c>
      <c r="AD28" s="125"/>
      <c r="AE28" s="66"/>
      <c r="AF28" s="17"/>
      <c r="AG28" s="29"/>
      <c r="AH28" s="17"/>
      <c r="AI28" s="17"/>
      <c r="AJ28" s="17"/>
      <c r="AK28" s="17"/>
      <c r="AL28" s="17"/>
      <c r="AM28" s="17"/>
      <c r="AN28" s="17"/>
      <c r="AO28" s="17"/>
      <c r="AP28" s="17"/>
      <c r="AQ28" s="17"/>
      <c r="AR28" s="17"/>
      <c r="AS28" s="17"/>
      <c r="AT28" s="17"/>
      <c r="AU28" s="17"/>
      <c r="AV28" s="17"/>
    </row>
    <row r="29" spans="2:48" x14ac:dyDescent="0.25">
      <c r="B29" s="17" t="s">
        <v>38</v>
      </c>
      <c r="C29" s="25" t="s">
        <v>6</v>
      </c>
      <c r="D29" s="50" t="e">
        <f>FG*FGO*MG</f>
        <v>#DIV/0!</v>
      </c>
      <c r="E29" s="22"/>
      <c r="F29" s="22"/>
      <c r="G29" s="46"/>
      <c r="H29" s="22"/>
      <c r="I29" s="57"/>
      <c r="L29" s="16" t="s">
        <v>167</v>
      </c>
      <c r="M29" s="17"/>
      <c r="N29" s="17"/>
      <c r="O29" s="17"/>
      <c r="P29" s="17"/>
      <c r="Q29" s="17"/>
      <c r="R29" s="22"/>
      <c r="S29" s="5"/>
      <c r="U29" s="38"/>
      <c r="V29" s="38"/>
      <c r="W29" s="38"/>
      <c r="X29" s="38"/>
      <c r="AA29" s="54"/>
      <c r="AB29" s="17" t="s">
        <v>259</v>
      </c>
      <c r="AC29" s="63" t="s">
        <v>6</v>
      </c>
      <c r="AD29" s="125"/>
      <c r="AE29" s="67"/>
      <c r="AF29" s="163"/>
      <c r="AG29" s="29"/>
      <c r="AH29" s="17"/>
      <c r="AI29" s="17"/>
      <c r="AJ29" s="17"/>
      <c r="AK29" s="17"/>
      <c r="AL29" s="17"/>
      <c r="AM29" s="17"/>
      <c r="AN29" s="17"/>
      <c r="AO29" s="17"/>
      <c r="AP29" s="17"/>
      <c r="AQ29" s="17"/>
      <c r="AR29" s="17"/>
      <c r="AS29" s="17"/>
      <c r="AT29" s="17"/>
      <c r="AU29" s="17"/>
      <c r="AV29" s="17"/>
    </row>
    <row r="30" spans="2:48" s="4" customFormat="1" x14ac:dyDescent="0.25">
      <c r="B30" s="25" t="s">
        <v>29</v>
      </c>
      <c r="C30" s="25" t="s">
        <v>6</v>
      </c>
      <c r="D30" s="50" t="e">
        <f>+(ATAN(-S / SQRT(-S * S + 1)) + 2 * ATAN(1))*(180 / PI())</f>
        <v>#DIV/0!</v>
      </c>
      <c r="E30" s="25"/>
      <c r="F30" s="25"/>
      <c r="G30" s="63"/>
      <c r="H30" s="57"/>
      <c r="J30" s="62"/>
      <c r="K30" s="62"/>
      <c r="L30" s="18" t="s">
        <v>123</v>
      </c>
      <c r="M30" s="18" t="s">
        <v>6</v>
      </c>
      <c r="N30" s="123"/>
      <c r="O30" s="22"/>
      <c r="P30" s="26" t="s">
        <v>158</v>
      </c>
      <c r="Q30" s="25" t="s">
        <v>6</v>
      </c>
      <c r="R30" s="32">
        <f>ROUND(MG/3,2)</f>
        <v>0</v>
      </c>
      <c r="S30" s="68"/>
      <c r="U30" s="63"/>
      <c r="V30" s="63"/>
      <c r="W30" s="63"/>
      <c r="X30" s="63"/>
      <c r="Y30" s="29"/>
      <c r="Z30" s="29"/>
      <c r="AA30" s="69"/>
      <c r="AB30" s="17" t="s">
        <v>260</v>
      </c>
      <c r="AC30" s="63" t="s">
        <v>6</v>
      </c>
      <c r="AD30" s="125"/>
      <c r="AE30" s="66"/>
      <c r="AF30" s="163"/>
      <c r="AG30" s="29"/>
      <c r="AH30" s="18"/>
      <c r="AI30" s="18"/>
      <c r="AJ30" s="18"/>
      <c r="AK30" s="18"/>
      <c r="AL30" s="18"/>
      <c r="AM30" s="18"/>
      <c r="AN30" s="18"/>
      <c r="AO30" s="18"/>
      <c r="AP30" s="18"/>
      <c r="AQ30" s="18"/>
      <c r="AR30" s="18"/>
      <c r="AS30" s="18"/>
      <c r="AT30" s="18"/>
      <c r="AU30" s="18"/>
      <c r="AV30" s="18"/>
    </row>
    <row r="31" spans="2:48" s="4" customFormat="1" x14ac:dyDescent="0.25">
      <c r="C31" s="25"/>
      <c r="D31" s="25"/>
      <c r="E31" s="25"/>
      <c r="F31" s="25"/>
      <c r="G31" s="63"/>
      <c r="H31" s="57"/>
      <c r="J31" s="62"/>
      <c r="K31" s="62"/>
      <c r="L31" s="18"/>
      <c r="M31" s="18"/>
      <c r="N31" s="22"/>
      <c r="O31" s="22"/>
      <c r="P31" s="21"/>
      <c r="Q31" s="25"/>
      <c r="R31" s="70"/>
      <c r="U31" s="63"/>
      <c r="V31" s="63"/>
      <c r="W31" s="63"/>
      <c r="X31" s="63"/>
      <c r="Y31" s="29"/>
      <c r="Z31" s="29"/>
      <c r="AA31" s="69"/>
      <c r="AB31" s="71" t="s">
        <v>261</v>
      </c>
      <c r="AC31" s="72" t="s">
        <v>6</v>
      </c>
      <c r="AD31" s="125"/>
      <c r="AE31" s="66"/>
      <c r="AF31" s="163"/>
      <c r="AG31" s="29"/>
      <c r="AH31" s="18"/>
      <c r="AI31" s="18"/>
      <c r="AJ31" s="18"/>
      <c r="AK31" s="18"/>
      <c r="AL31" s="18"/>
      <c r="AM31" s="18"/>
      <c r="AN31" s="18"/>
      <c r="AO31" s="18"/>
      <c r="AP31" s="18"/>
      <c r="AQ31" s="18"/>
      <c r="AR31" s="18"/>
      <c r="AS31" s="18"/>
      <c r="AT31" s="18"/>
      <c r="AU31" s="18"/>
      <c r="AV31" s="18"/>
    </row>
    <row r="32" spans="2:48" ht="9" customHeight="1" thickBot="1" x14ac:dyDescent="0.3">
      <c r="B32" s="73"/>
      <c r="C32" s="73"/>
      <c r="D32" s="11"/>
      <c r="E32" s="73"/>
      <c r="F32" s="73"/>
      <c r="G32" s="73"/>
      <c r="H32" s="73"/>
      <c r="I32" s="73"/>
      <c r="J32" s="73"/>
      <c r="K32" s="73"/>
      <c r="L32" s="73"/>
      <c r="M32" s="73"/>
      <c r="N32" s="73"/>
      <c r="O32" s="73"/>
      <c r="P32" s="11"/>
      <c r="Q32" s="11"/>
      <c r="R32" s="11"/>
      <c r="S32" s="11"/>
      <c r="T32" s="41"/>
      <c r="U32" s="43"/>
      <c r="V32" s="43"/>
      <c r="W32" s="43"/>
      <c r="X32" s="43"/>
      <c r="Y32" s="74"/>
      <c r="Z32" s="74"/>
      <c r="AA32" s="43"/>
      <c r="AB32" s="41"/>
      <c r="AC32" s="41"/>
      <c r="AD32" s="41"/>
      <c r="AE32" s="75"/>
      <c r="AF32" s="76"/>
      <c r="AG32" s="74"/>
      <c r="AH32" s="11"/>
      <c r="AI32" s="22"/>
      <c r="AJ32" s="22"/>
      <c r="AK32" s="22"/>
      <c r="AL32" s="22"/>
      <c r="AM32" s="22"/>
      <c r="AN32" s="22"/>
      <c r="AO32" s="17"/>
      <c r="AP32" s="21"/>
      <c r="AQ32" s="50"/>
      <c r="AR32" s="17"/>
      <c r="AS32" s="17"/>
      <c r="AT32" s="17"/>
      <c r="AU32" s="17"/>
      <c r="AV32" s="17"/>
    </row>
    <row r="33" spans="2:50" ht="30.95" customHeight="1" x14ac:dyDescent="0.25">
      <c r="B33" s="159" t="s">
        <v>256</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22"/>
      <c r="AJ33" s="22"/>
      <c r="AK33" s="22"/>
      <c r="AL33" s="22"/>
      <c r="AM33" s="22"/>
      <c r="AN33" s="22"/>
      <c r="AO33" s="17"/>
      <c r="AP33" s="21"/>
      <c r="AQ33" s="50"/>
      <c r="AR33" s="17"/>
      <c r="AS33" s="17"/>
      <c r="AT33" s="17"/>
      <c r="AU33" s="17"/>
      <c r="AV33" s="17"/>
    </row>
    <row r="34" spans="2:50" x14ac:dyDescent="0.25">
      <c r="B34" s="60" t="s">
        <v>190</v>
      </c>
      <c r="E34" s="60"/>
      <c r="F34" s="60"/>
      <c r="G34" s="60"/>
      <c r="H34" s="60"/>
      <c r="N34" s="38"/>
      <c r="O34" s="17"/>
      <c r="P34" s="38"/>
      <c r="Q34" s="38"/>
      <c r="R34" s="38"/>
      <c r="S34" s="38"/>
      <c r="T34" s="38"/>
      <c r="U34" s="38"/>
      <c r="V34" s="38"/>
      <c r="W34" s="17"/>
      <c r="X34" s="17"/>
      <c r="Y34" s="17"/>
      <c r="Z34" s="17"/>
      <c r="AA34" s="17"/>
      <c r="AI34" s="78"/>
      <c r="AJ34" s="78"/>
      <c r="AK34" s="78"/>
      <c r="AX34" s="79"/>
    </row>
    <row r="35" spans="2:50" ht="15.75" customHeight="1" x14ac:dyDescent="0.3">
      <c r="J35" s="16"/>
      <c r="K35" s="16"/>
      <c r="L35" s="154" t="s">
        <v>152</v>
      </c>
      <c r="M35" s="155"/>
      <c r="N35" s="155"/>
      <c r="O35" s="80"/>
      <c r="P35" s="38"/>
      <c r="R35" s="154" t="s">
        <v>127</v>
      </c>
      <c r="S35" s="155"/>
      <c r="T35" s="155"/>
      <c r="W35" s="154" t="s">
        <v>130</v>
      </c>
      <c r="X35" s="155"/>
      <c r="Y35" s="155"/>
      <c r="Z35" s="17"/>
      <c r="AB35" s="154" t="s">
        <v>168</v>
      </c>
      <c r="AC35" s="155"/>
      <c r="AD35" s="155"/>
      <c r="AE35" s="81"/>
      <c r="AL35" s="81"/>
      <c r="AX35" s="82"/>
    </row>
    <row r="36" spans="2:50" x14ac:dyDescent="0.25">
      <c r="B36" s="38" t="s">
        <v>119</v>
      </c>
      <c r="C36" s="17" t="s">
        <v>6</v>
      </c>
      <c r="D36" s="17">
        <f>1.01*SQRT(GDK^2-GOL^2)</f>
        <v>0</v>
      </c>
      <c r="J36" s="16"/>
      <c r="K36" s="16"/>
      <c r="L36" s="16" t="s">
        <v>16</v>
      </c>
      <c r="M36" s="17" t="s">
        <v>6</v>
      </c>
      <c r="N36" s="83">
        <f>LE</f>
        <v>0</v>
      </c>
      <c r="O36" s="45"/>
      <c r="P36" s="5"/>
      <c r="Q36" s="16"/>
      <c r="R36" s="16" t="s">
        <v>128</v>
      </c>
      <c r="S36" s="17" t="s">
        <v>6</v>
      </c>
      <c r="T36" s="67">
        <f>(3*LWL+LR)/4</f>
        <v>0</v>
      </c>
      <c r="U36" s="5"/>
      <c r="V36" s="5"/>
      <c r="W36" s="16" t="s">
        <v>131</v>
      </c>
      <c r="X36" s="17" t="s">
        <v>6</v>
      </c>
      <c r="Y36" s="67">
        <f>(1.75*LWL+LR)/2.75</f>
        <v>0</v>
      </c>
      <c r="Z36" s="17"/>
      <c r="AA36" s="16"/>
      <c r="AB36" s="16" t="s">
        <v>147</v>
      </c>
      <c r="AC36" s="17" t="s">
        <v>6</v>
      </c>
      <c r="AD36" s="84">
        <f>(LWL+1.5*LR)/2.5</f>
        <v>0</v>
      </c>
      <c r="AE36" s="67"/>
      <c r="AH36" s="78"/>
      <c r="AI36" s="16"/>
      <c r="AX36" s="82"/>
    </row>
    <row r="37" spans="2:50" x14ac:dyDescent="0.25">
      <c r="B37" s="17" t="s">
        <v>53</v>
      </c>
      <c r="C37" s="38" t="s">
        <v>6</v>
      </c>
      <c r="D37" s="85">
        <f>(0.375+0.005*(L-11))*IZ</f>
        <v>0</v>
      </c>
      <c r="J37" s="86"/>
      <c r="K37" s="86"/>
      <c r="L37" s="68"/>
      <c r="M37" s="17"/>
      <c r="N37" s="5"/>
      <c r="P37" s="5"/>
      <c r="Q37" s="16"/>
      <c r="R37" s="17"/>
      <c r="S37" s="17"/>
      <c r="T37" s="17"/>
      <c r="U37" s="5"/>
      <c r="V37" s="5"/>
      <c r="W37" s="17"/>
      <c r="X37" s="17"/>
      <c r="Y37" s="17"/>
      <c r="Z37" s="17"/>
      <c r="AA37" s="16"/>
      <c r="AB37" s="17"/>
      <c r="AC37" s="17"/>
      <c r="AD37" s="17"/>
      <c r="AE37" s="17"/>
      <c r="AI37" s="16"/>
      <c r="AX37" s="82"/>
    </row>
    <row r="38" spans="2:50" x14ac:dyDescent="0.25">
      <c r="B38" s="17" t="s">
        <v>81</v>
      </c>
      <c r="C38" s="38" t="s">
        <v>6</v>
      </c>
      <c r="D38" s="50">
        <f>(0.87+0.005*(L-11))*IZ</f>
        <v>0</v>
      </c>
      <c r="J38" s="16"/>
      <c r="K38" s="17"/>
      <c r="L38" s="16" t="s">
        <v>34</v>
      </c>
      <c r="M38" s="17" t="s">
        <v>6</v>
      </c>
      <c r="N38" s="77" t="e">
        <f>1-(0.03791*(ZD-ZDS)^2)+(0.2139*(ZD-ZDS))</f>
        <v>#DIV/0!</v>
      </c>
      <c r="P38" s="5"/>
      <c r="Q38" s="16"/>
      <c r="R38" s="16" t="s">
        <v>92</v>
      </c>
      <c r="S38" s="17" t="s">
        <v>6</v>
      </c>
      <c r="T38" s="67" t="e">
        <f>1-0.0596*(ZDL-ZDSL)^2+0.2005*(ZDL-ZDSL)</f>
        <v>#DIV/0!</v>
      </c>
      <c r="U38" s="5"/>
      <c r="V38" s="5"/>
      <c r="W38" s="16" t="s">
        <v>98</v>
      </c>
      <c r="X38" s="17" t="s">
        <v>6</v>
      </c>
      <c r="Y38" s="84" t="e">
        <f>1-0.07017*(ZDM-ZDSM)^2+0.1809*(ZDM-ZDSM)</f>
        <v>#DIV/0!</v>
      </c>
      <c r="Z38" s="17"/>
      <c r="AA38" s="16"/>
      <c r="AB38" s="16" t="s">
        <v>107</v>
      </c>
      <c r="AC38" s="17" t="s">
        <v>6</v>
      </c>
      <c r="AD38" s="84" t="e">
        <f>1-0.04895*(ZDZ-ZDSZ)^2+0.1267*(ZDZ-ZDSZ)</f>
        <v>#DIV/0!</v>
      </c>
      <c r="AE38" s="84"/>
      <c r="AI38" s="16"/>
    </row>
    <row r="39" spans="2:50" x14ac:dyDescent="0.25">
      <c r="B39" s="17" t="s">
        <v>115</v>
      </c>
      <c r="C39" s="17" t="s">
        <v>6</v>
      </c>
      <c r="D39" s="85" t="e">
        <f>LWL/DC^(1/3)</f>
        <v>#DIV/0!</v>
      </c>
      <c r="J39" s="17"/>
      <c r="K39" s="17"/>
      <c r="L39" s="18" t="s">
        <v>35</v>
      </c>
      <c r="M39" s="17" t="s">
        <v>6</v>
      </c>
      <c r="N39" s="87" t="e">
        <f>SQRT(OZ)/(D^(1/3))</f>
        <v>#DIV/0!</v>
      </c>
      <c r="O39" s="87"/>
      <c r="P39" s="5"/>
      <c r="Q39" s="16"/>
      <c r="R39" s="17" t="s">
        <v>148</v>
      </c>
      <c r="S39" s="17" t="s">
        <v>6</v>
      </c>
      <c r="T39" s="88" t="e">
        <f>SQRT(OZL)/(D^(1/3))</f>
        <v>#DIV/0!</v>
      </c>
      <c r="U39" s="5"/>
      <c r="V39" s="5"/>
      <c r="W39" s="17" t="s">
        <v>150</v>
      </c>
      <c r="X39" s="17" t="s">
        <v>6</v>
      </c>
      <c r="Y39" s="88" t="e">
        <f>SQRT(OZM)/(D^(1/3))</f>
        <v>#DIV/0!</v>
      </c>
      <c r="Z39" s="17"/>
      <c r="AA39" s="16"/>
      <c r="AB39" s="17" t="s">
        <v>151</v>
      </c>
      <c r="AC39" s="17" t="s">
        <v>6</v>
      </c>
      <c r="AD39" s="88" t="e">
        <f>SQRT(OZZ)/(D^(1/3))</f>
        <v>#DIV/0!</v>
      </c>
      <c r="AE39" s="88"/>
      <c r="AI39" s="16"/>
      <c r="AX39" s="82"/>
    </row>
    <row r="40" spans="2:50" x14ac:dyDescent="0.25">
      <c r="B40" s="17" t="s">
        <v>73</v>
      </c>
      <c r="C40" s="38" t="s">
        <v>6</v>
      </c>
      <c r="D40" s="85">
        <f>-(0.012*L^2)+(0.393*L)+1.012</f>
        <v>1.012</v>
      </c>
      <c r="H40" s="60"/>
      <c r="K40" s="16"/>
      <c r="L40" s="18" t="s">
        <v>36</v>
      </c>
      <c r="M40" s="17" t="s">
        <v>6</v>
      </c>
      <c r="N40" s="21">
        <v>4.2569999999999997</v>
      </c>
      <c r="O40" s="30"/>
      <c r="P40" s="5"/>
      <c r="Q40" s="16"/>
      <c r="R40" s="17" t="s">
        <v>93</v>
      </c>
      <c r="S40" s="17" t="s">
        <v>6</v>
      </c>
      <c r="T40" s="25">
        <v>4.24</v>
      </c>
      <c r="U40" s="5"/>
      <c r="V40" s="5"/>
      <c r="W40" s="17" t="s">
        <v>99</v>
      </c>
      <c r="X40" s="17" t="s">
        <v>6</v>
      </c>
      <c r="Y40" s="17">
        <v>4.2249999999999996</v>
      </c>
      <c r="Z40" s="17"/>
      <c r="AA40" s="16"/>
      <c r="AB40" s="17" t="s">
        <v>106</v>
      </c>
      <c r="AC40" s="17" t="s">
        <v>6</v>
      </c>
      <c r="AD40" s="25">
        <v>4.2300000000000004</v>
      </c>
      <c r="AE40" s="17"/>
      <c r="AI40" s="16"/>
      <c r="AX40" s="82"/>
    </row>
    <row r="41" spans="2:50" x14ac:dyDescent="0.25">
      <c r="B41" s="38" t="s">
        <v>41</v>
      </c>
      <c r="C41" s="38" t="s">
        <v>6</v>
      </c>
      <c r="D41" s="17" t="e">
        <f>IF(SLGeen&lt;SLGmin,(LWL/SLGmin)^3,DC)</f>
        <v>#DIV/0!</v>
      </c>
      <c r="I41" s="38"/>
      <c r="J41" s="86"/>
      <c r="K41" s="86"/>
      <c r="M41" s="17"/>
      <c r="N41" s="5"/>
      <c r="O41" s="87"/>
      <c r="P41" s="5"/>
      <c r="Q41" s="16"/>
      <c r="R41" s="17"/>
      <c r="S41" s="17"/>
      <c r="T41" s="17"/>
      <c r="U41" s="5"/>
      <c r="V41" s="5"/>
      <c r="W41" s="17"/>
      <c r="X41" s="17"/>
      <c r="Y41" s="17"/>
      <c r="Z41" s="17"/>
      <c r="AA41" s="16"/>
      <c r="AB41" s="17"/>
      <c r="AC41" s="17"/>
      <c r="AD41" s="17"/>
      <c r="AE41" s="17"/>
      <c r="AH41" s="89"/>
      <c r="AI41" s="16"/>
    </row>
    <row r="42" spans="2:50" x14ac:dyDescent="0.25">
      <c r="B42" s="17" t="s">
        <v>118</v>
      </c>
      <c r="C42" s="38" t="s">
        <v>6</v>
      </c>
      <c r="D42" s="82" t="e">
        <f>RM/(DC*1000*TAN(1*PI()/180))</f>
        <v>#DIV/0!</v>
      </c>
      <c r="I42" s="38"/>
      <c r="J42" s="16"/>
      <c r="K42" s="17"/>
      <c r="L42" s="90" t="s">
        <v>84</v>
      </c>
      <c r="M42" s="17" t="s">
        <v>6</v>
      </c>
      <c r="N42" s="91" t="e">
        <f>1-0.000115*(TH-THS)^2-0.006257*(TH-THS)</f>
        <v>#DIV/0!</v>
      </c>
      <c r="O42" s="21"/>
      <c r="P42" s="5"/>
      <c r="Q42" s="16"/>
      <c r="R42" s="16" t="s">
        <v>94</v>
      </c>
      <c r="S42" s="17" t="s">
        <v>6</v>
      </c>
      <c r="T42" s="92" t="e">
        <f>1-0.000433*(THL-THSL)^2-0.00423*(THL-THSL)</f>
        <v>#DIV/0!</v>
      </c>
      <c r="U42" s="5"/>
      <c r="V42" s="5"/>
      <c r="W42" s="16" t="s">
        <v>100</v>
      </c>
      <c r="X42" s="17" t="s">
        <v>6</v>
      </c>
      <c r="Y42" s="66" t="e">
        <f>1-0.000317*(THM-THSM)^2-0.007139*(THM-THSM)</f>
        <v>#DIV/0!</v>
      </c>
      <c r="Z42" s="17"/>
      <c r="AA42" s="16"/>
      <c r="AB42" s="16" t="s">
        <v>108</v>
      </c>
      <c r="AC42" s="17" t="s">
        <v>6</v>
      </c>
      <c r="AD42" s="66" t="e">
        <f>1-0.000132*(THZ-THSZ)^2-0.011418*(THZ-THSZ)</f>
        <v>#DIV/0!</v>
      </c>
      <c r="AE42" s="66"/>
      <c r="AH42" s="89"/>
      <c r="AI42" s="16"/>
      <c r="AX42" s="82"/>
    </row>
    <row r="43" spans="2:50" x14ac:dyDescent="0.25">
      <c r="B43" s="38" t="s">
        <v>121</v>
      </c>
      <c r="C43" s="17" t="s">
        <v>6</v>
      </c>
      <c r="D43" s="50">
        <f>(2/3)*(GOL*GPO+GBL*GPB)+(1/4)*(SQRT((GVL+GOL+GDK)*(-GVL+GOL+GDK)*(GVL-GOL+GDK)*(GVL+GOL-GDK))+SQRT((GBL+GAL+GDK)*(-GBL+GAL+GDK)*(GBL-GAL+GDK)*(GBL+GAL-GDK)))</f>
        <v>0</v>
      </c>
      <c r="I43" s="38"/>
      <c r="J43" s="17"/>
      <c r="K43" s="17"/>
      <c r="L43" s="18" t="s">
        <v>12</v>
      </c>
      <c r="M43" s="17" t="s">
        <v>6</v>
      </c>
      <c r="N43" s="30" t="e">
        <f>TH</f>
        <v>#DIV/0!</v>
      </c>
      <c r="O43" s="93"/>
      <c r="P43" s="5"/>
      <c r="Q43" s="16"/>
      <c r="R43" s="17" t="s">
        <v>129</v>
      </c>
      <c r="S43" s="17" t="s">
        <v>6</v>
      </c>
      <c r="T43" s="88" t="e">
        <f>(GOZ*3*HA)/RM</f>
        <v>#DIV/0!</v>
      </c>
      <c r="U43" s="5"/>
      <c r="V43" s="5"/>
      <c r="W43" s="17" t="s">
        <v>132</v>
      </c>
      <c r="X43" s="17" t="s">
        <v>6</v>
      </c>
      <c r="Y43" s="88" t="e">
        <f>(GOZ*6*HA)/RM</f>
        <v>#DIV/0!</v>
      </c>
      <c r="Z43" s="17"/>
      <c r="AA43" s="16"/>
      <c r="AB43" s="17" t="s">
        <v>133</v>
      </c>
      <c r="AC43" s="17" t="s">
        <v>6</v>
      </c>
      <c r="AD43" s="88" t="e">
        <f>(GOZ*9*HA)/RM</f>
        <v>#DIV/0!</v>
      </c>
      <c r="AE43" s="88"/>
      <c r="AI43" s="16"/>
      <c r="AX43" s="82"/>
    </row>
    <row r="44" spans="2:50" x14ac:dyDescent="0.25">
      <c r="B44" s="38" t="s">
        <v>122</v>
      </c>
      <c r="C44" s="38" t="s">
        <v>6</v>
      </c>
      <c r="D44" s="50">
        <f>(2/3)*(GOL*GPO+GBL*GPB)+(1/4)*(SQRT((GOL+GAL+GDT)*(-GOL+GAL+GDT)*(GOL-GAL+GDT)*(GOL+GAL-GDT))+SQRT((GBL+GVL+GDT)*(-GBL+GVL+GDT)*(GBL-GVL+GDT)*(GBL+GVL-GDT)))</f>
        <v>0</v>
      </c>
      <c r="I44" s="38"/>
      <c r="K44" s="16"/>
      <c r="L44" s="18" t="s">
        <v>85</v>
      </c>
      <c r="M44" s="17" t="s">
        <v>6</v>
      </c>
      <c r="N44" s="25">
        <v>13.5</v>
      </c>
      <c r="P44" s="5"/>
      <c r="Q44" s="16"/>
      <c r="R44" s="17" t="s">
        <v>149</v>
      </c>
      <c r="S44" s="17" t="s">
        <v>6</v>
      </c>
      <c r="T44" s="25">
        <v>7</v>
      </c>
      <c r="U44" s="5"/>
      <c r="V44" s="5"/>
      <c r="W44" s="17" t="s">
        <v>101</v>
      </c>
      <c r="X44" s="17" t="s">
        <v>6</v>
      </c>
      <c r="Y44" s="17">
        <v>14</v>
      </c>
      <c r="Z44" s="17"/>
      <c r="AA44" s="16"/>
      <c r="AB44" s="17" t="s">
        <v>109</v>
      </c>
      <c r="AC44" s="17" t="s">
        <v>6</v>
      </c>
      <c r="AD44" s="25">
        <v>17.3</v>
      </c>
      <c r="AE44" s="17"/>
      <c r="AI44" s="16"/>
      <c r="AT44" s="94"/>
    </row>
    <row r="45" spans="2:50" x14ac:dyDescent="0.25">
      <c r="B45" s="17" t="s">
        <v>47</v>
      </c>
      <c r="C45" s="38" t="s">
        <v>6</v>
      </c>
      <c r="D45" s="95">
        <f>IF(GVL&lt;GVLmin2,GVLmin2/GVL,1)</f>
        <v>1</v>
      </c>
      <c r="I45" s="38"/>
      <c r="J45" s="86"/>
      <c r="K45" s="86"/>
      <c r="M45" s="17"/>
      <c r="N45" s="5"/>
      <c r="O45" s="25"/>
      <c r="P45" s="5"/>
      <c r="Q45" s="16"/>
      <c r="R45" s="17"/>
      <c r="S45" s="17"/>
      <c r="T45" s="17"/>
      <c r="U45" s="5"/>
      <c r="V45" s="5"/>
      <c r="W45" s="17"/>
      <c r="X45" s="17"/>
      <c r="Y45" s="17"/>
      <c r="Z45" s="17"/>
      <c r="AA45" s="16"/>
      <c r="AB45" s="17"/>
      <c r="AC45" s="17"/>
      <c r="AD45" s="17"/>
      <c r="AE45" s="17"/>
      <c r="AI45" s="16"/>
      <c r="AT45" s="94"/>
    </row>
    <row r="46" spans="2:50" x14ac:dyDescent="0.25">
      <c r="B46" s="17" t="s">
        <v>43</v>
      </c>
      <c r="C46" s="17" t="s">
        <v>6</v>
      </c>
      <c r="D46" s="95" t="e">
        <f>MAX(FGH,FOZ)</f>
        <v>#DIV/0!</v>
      </c>
      <c r="I46" s="38"/>
      <c r="J46" s="16"/>
      <c r="K46" s="86"/>
      <c r="L46" s="16" t="s">
        <v>89</v>
      </c>
      <c r="M46" s="17" t="s">
        <v>6</v>
      </c>
      <c r="N46" s="84" t="e">
        <f>1-(0.2856*(ZN-ZNS)^2)+(0.5648*(ZN-ZNS))</f>
        <v>#DIV/0!</v>
      </c>
      <c r="O46" s="30"/>
      <c r="P46" s="5"/>
      <c r="Q46" s="16"/>
      <c r="R46" s="16" t="s">
        <v>95</v>
      </c>
      <c r="S46" s="17" t="s">
        <v>6</v>
      </c>
      <c r="T46" s="67" t="e">
        <f>1+0.0499*(ZNL-ZNSL)^2+1.021*(ZNL-ZNSL)</f>
        <v>#DIV/0!</v>
      </c>
      <c r="U46" s="5"/>
      <c r="V46" s="5"/>
      <c r="W46" s="16" t="s">
        <v>102</v>
      </c>
      <c r="X46" s="17" t="s">
        <v>6</v>
      </c>
      <c r="Y46" s="84" t="e">
        <f>1-0.2978*(ZNM-ZNSM)^2+0.4364*(ZNM-ZNSM)</f>
        <v>#DIV/0!</v>
      </c>
      <c r="Z46" s="17"/>
      <c r="AA46" s="16"/>
      <c r="AB46" s="16" t="s">
        <v>110</v>
      </c>
      <c r="AC46" s="17" t="s">
        <v>6</v>
      </c>
      <c r="AD46" s="84" t="e">
        <f>1-0.1318*(ZNZ-ZNSZ)^2+0.223*(ZNZ-ZNSZ)</f>
        <v>#DIV/0!</v>
      </c>
      <c r="AE46" s="84"/>
      <c r="AI46" s="16"/>
      <c r="AT46" s="94"/>
    </row>
    <row r="47" spans="2:50" x14ac:dyDescent="0.25">
      <c r="B47" s="17" t="s">
        <v>45</v>
      </c>
      <c r="C47" s="38" t="s">
        <v>6</v>
      </c>
      <c r="D47" s="82" t="e">
        <f>(0.9*2*PI()*AG)/(1.8+SQRT(AG^2+4))</f>
        <v>#DIV/0!</v>
      </c>
      <c r="I47" s="38"/>
      <c r="J47" s="86"/>
      <c r="K47" s="86"/>
      <c r="L47" s="18" t="s">
        <v>87</v>
      </c>
      <c r="M47" s="17" t="s">
        <v>6</v>
      </c>
      <c r="N47" s="88" t="e">
        <f>SQRT(OZ)/SQRT(NO)</f>
        <v>#DIV/0!</v>
      </c>
      <c r="O47" s="87"/>
      <c r="P47" s="5"/>
      <c r="Q47" s="16"/>
      <c r="R47" s="17" t="s">
        <v>134</v>
      </c>
      <c r="S47" s="17" t="s">
        <v>6</v>
      </c>
      <c r="T47" s="85" t="e">
        <f>SQRT(OZL)/SQRT(NO)</f>
        <v>#DIV/0!</v>
      </c>
      <c r="U47" s="5"/>
      <c r="V47" s="5"/>
      <c r="W47" s="17" t="s">
        <v>137</v>
      </c>
      <c r="X47" s="17" t="s">
        <v>6</v>
      </c>
      <c r="Y47" s="85" t="e">
        <f>SQRT(OZM)/SQRT(NO)</f>
        <v>#DIV/0!</v>
      </c>
      <c r="Z47" s="17"/>
      <c r="AA47" s="16"/>
      <c r="AB47" s="17" t="s">
        <v>138</v>
      </c>
      <c r="AC47" s="17" t="s">
        <v>6</v>
      </c>
      <c r="AD47" s="85" t="e">
        <f>SQRT(OZZ)/SQRT(NO)</f>
        <v>#DIV/0!</v>
      </c>
      <c r="AE47" s="85"/>
      <c r="AI47" s="16"/>
    </row>
    <row r="48" spans="2:50" x14ac:dyDescent="0.25">
      <c r="B48" s="17" t="s">
        <v>46</v>
      </c>
      <c r="C48" s="17" t="s">
        <v>6</v>
      </c>
      <c r="D48" s="82" t="e">
        <f>(1.37*FGH*((3*GDT+GVL)/4)^2)/MG</f>
        <v>#DIV/0!</v>
      </c>
      <c r="I48" s="38"/>
      <c r="J48" s="86"/>
      <c r="K48" s="86"/>
      <c r="L48" s="18" t="s">
        <v>88</v>
      </c>
      <c r="M48" s="17" t="s">
        <v>6</v>
      </c>
      <c r="N48" s="21">
        <v>1.601</v>
      </c>
      <c r="O48" s="88"/>
      <c r="P48" s="5"/>
      <c r="Q48" s="16"/>
      <c r="R48" s="17" t="s">
        <v>96</v>
      </c>
      <c r="S48" s="17" t="s">
        <v>6</v>
      </c>
      <c r="T48" s="25">
        <v>1.599</v>
      </c>
      <c r="U48" s="5"/>
      <c r="V48" s="5"/>
      <c r="W48" s="17" t="s">
        <v>103</v>
      </c>
      <c r="X48" s="17" t="s">
        <v>6</v>
      </c>
      <c r="Y48" s="17">
        <v>1.599</v>
      </c>
      <c r="Z48" s="17"/>
      <c r="AA48" s="16"/>
      <c r="AB48" s="17" t="s">
        <v>111</v>
      </c>
      <c r="AC48" s="17" t="s">
        <v>6</v>
      </c>
      <c r="AD48" s="25">
        <v>1.599</v>
      </c>
      <c r="AE48" s="17"/>
      <c r="AI48" s="16"/>
    </row>
    <row r="49" spans="2:54" x14ac:dyDescent="0.25">
      <c r="B49" s="17" t="s">
        <v>80</v>
      </c>
      <c r="C49" s="17" t="s">
        <v>6</v>
      </c>
      <c r="D49" s="96" t="e">
        <f>MAX(FVH,FOZ)</f>
        <v>#DIV/0!</v>
      </c>
      <c r="I49" s="38"/>
      <c r="K49" s="16"/>
      <c r="M49" s="17"/>
      <c r="N49" s="5"/>
      <c r="O49" s="88"/>
      <c r="P49" s="5"/>
      <c r="Q49" s="16"/>
      <c r="R49" s="17"/>
      <c r="S49" s="17"/>
      <c r="T49" s="17"/>
      <c r="U49" s="5"/>
      <c r="V49" s="5"/>
      <c r="W49" s="17"/>
      <c r="X49" s="17"/>
      <c r="Y49" s="17"/>
      <c r="Z49" s="17"/>
      <c r="AA49" s="16"/>
      <c r="AB49" s="17"/>
      <c r="AC49" s="17"/>
      <c r="AD49" s="17"/>
      <c r="AE49" s="17"/>
      <c r="AI49" s="16"/>
    </row>
    <row r="50" spans="2:54" x14ac:dyDescent="0.25">
      <c r="B50" s="17" t="s">
        <v>82</v>
      </c>
      <c r="C50" s="38" t="s">
        <v>6</v>
      </c>
      <c r="D50" s="21">
        <f>IF(FAL&lt;FALmin,FALmin/FAL,1)</f>
        <v>1</v>
      </c>
      <c r="I50" s="38"/>
      <c r="J50" s="16"/>
      <c r="K50" s="16"/>
      <c r="L50" s="60" t="s">
        <v>25</v>
      </c>
      <c r="M50" s="17" t="s">
        <v>6</v>
      </c>
      <c r="N50" s="98" t="e">
        <f>FS</f>
        <v>#DIV/0!</v>
      </c>
      <c r="O50" s="85"/>
      <c r="P50" s="5"/>
      <c r="Q50" s="16"/>
      <c r="R50" s="97" t="s">
        <v>25</v>
      </c>
      <c r="S50" s="17" t="s">
        <v>6</v>
      </c>
      <c r="T50" s="98" t="e">
        <f>FS</f>
        <v>#DIV/0!</v>
      </c>
      <c r="U50" s="5"/>
      <c r="V50" s="5"/>
      <c r="W50" s="97" t="s">
        <v>25</v>
      </c>
      <c r="X50" s="17" t="s">
        <v>6</v>
      </c>
      <c r="Y50" s="98" t="e">
        <f>FS</f>
        <v>#DIV/0!</v>
      </c>
      <c r="Z50" s="17"/>
      <c r="AA50" s="16"/>
      <c r="AB50" s="97" t="s">
        <v>25</v>
      </c>
      <c r="AC50" s="17" t="s">
        <v>6</v>
      </c>
      <c r="AD50" s="98" t="e">
        <f>FS</f>
        <v>#DIV/0!</v>
      </c>
      <c r="AE50" s="17"/>
      <c r="AH50" s="99"/>
      <c r="AI50" s="16"/>
    </row>
    <row r="51" spans="2:54" x14ac:dyDescent="0.25">
      <c r="B51" s="38" t="s">
        <v>69</v>
      </c>
      <c r="C51" s="38" t="s">
        <v>6</v>
      </c>
      <c r="D51" s="25" t="e">
        <f>(0.9*2*PI()*AVV)/(1.8+SQRT(AVV^2+4))</f>
        <v>#DIV/0!</v>
      </c>
      <c r="N51" s="5"/>
      <c r="P51" s="5"/>
      <c r="Q51" s="5"/>
      <c r="R51" s="5"/>
      <c r="S51" s="5"/>
      <c r="T51" s="97"/>
      <c r="U51" s="5"/>
      <c r="V51" s="5"/>
      <c r="W51" s="5"/>
      <c r="X51" s="5"/>
      <c r="Y51" s="5"/>
      <c r="AA51" s="5"/>
      <c r="AB51" s="5"/>
      <c r="AC51" s="5"/>
      <c r="AD51" s="5"/>
    </row>
    <row r="52" spans="2:54" x14ac:dyDescent="0.25">
      <c r="B52" s="38" t="s">
        <v>70</v>
      </c>
      <c r="C52" s="17" t="s">
        <v>6</v>
      </c>
      <c r="D52" s="21" t="e">
        <f>1.5*FVH*(FVL*COS(ASIN(J/FVL)))^2/MV</f>
        <v>#DIV/0!</v>
      </c>
      <c r="J52" s="16"/>
      <c r="L52" s="60" t="s">
        <v>17</v>
      </c>
      <c r="M52" s="17" t="s">
        <v>6</v>
      </c>
      <c r="N52" s="98">
        <f>FRV</f>
        <v>0</v>
      </c>
      <c r="P52" s="5"/>
      <c r="Q52" s="5"/>
      <c r="R52" s="16" t="s">
        <v>18</v>
      </c>
      <c r="S52" s="17" t="s">
        <v>6</v>
      </c>
      <c r="T52" s="100">
        <f>FRVL</f>
        <v>0</v>
      </c>
      <c r="U52" s="5"/>
      <c r="V52" s="5"/>
      <c r="W52" s="16" t="s">
        <v>22</v>
      </c>
      <c r="X52" s="17" t="s">
        <v>6</v>
      </c>
      <c r="Y52" s="100">
        <f>FRVM</f>
        <v>0</v>
      </c>
      <c r="AA52" s="5"/>
      <c r="AB52" s="16" t="s">
        <v>91</v>
      </c>
      <c r="AC52" s="17" t="s">
        <v>6</v>
      </c>
      <c r="AD52" s="100">
        <f>FRVZ</f>
        <v>0</v>
      </c>
    </row>
    <row r="53" spans="2:54" x14ac:dyDescent="0.25">
      <c r="B53" s="17" t="s">
        <v>83</v>
      </c>
      <c r="C53" s="38" t="s">
        <v>6</v>
      </c>
      <c r="D53" s="21" t="e">
        <f>FV*FVO*MV</f>
        <v>#DIV/0!</v>
      </c>
      <c r="K53" s="86"/>
      <c r="L53" s="18" t="s">
        <v>90</v>
      </c>
      <c r="M53" s="17" t="s">
        <v>6</v>
      </c>
      <c r="N53" s="25">
        <v>1.7889999999999999</v>
      </c>
      <c r="P53" s="5"/>
      <c r="Q53" s="16"/>
      <c r="R53" s="17" t="s">
        <v>97</v>
      </c>
      <c r="S53" s="17" t="s">
        <v>6</v>
      </c>
      <c r="T53" s="25">
        <v>2.5150000000000001</v>
      </c>
      <c r="U53" s="5"/>
      <c r="V53" s="5"/>
      <c r="W53" s="17" t="s">
        <v>104</v>
      </c>
      <c r="X53" s="17" t="s">
        <v>6</v>
      </c>
      <c r="Y53" s="17">
        <v>1.825</v>
      </c>
      <c r="Z53" s="17"/>
      <c r="AA53" s="16"/>
      <c r="AB53" s="17" t="s">
        <v>112</v>
      </c>
      <c r="AC53" s="17" t="s">
        <v>6</v>
      </c>
      <c r="AD53" s="21">
        <v>1.8260000000000001</v>
      </c>
      <c r="AY53" s="101"/>
    </row>
    <row r="54" spans="2:54" x14ac:dyDescent="0.25">
      <c r="D54" s="5"/>
      <c r="J54" s="17"/>
      <c r="K54" s="17"/>
      <c r="N54" s="5"/>
      <c r="P54" s="5"/>
      <c r="Q54" s="5"/>
      <c r="R54" s="5"/>
      <c r="S54" s="5"/>
      <c r="T54" s="5"/>
      <c r="U54" s="5"/>
      <c r="V54" s="5"/>
      <c r="W54" s="5"/>
      <c r="X54" s="5"/>
      <c r="Y54" s="5"/>
      <c r="AA54" s="5"/>
      <c r="AB54" s="5"/>
      <c r="AC54" s="5"/>
      <c r="AD54" s="5"/>
      <c r="AE54" s="88"/>
      <c r="AI54" s="16"/>
      <c r="AY54" s="102"/>
      <c r="AZ54" s="103"/>
      <c r="BB54" s="103"/>
    </row>
    <row r="55" spans="2:54" x14ac:dyDescent="0.25">
      <c r="B55" s="18" t="s">
        <v>86</v>
      </c>
      <c r="C55" s="17"/>
      <c r="D55" s="87">
        <f>(MIN(LOA/10,1.6)+TC/2)/2+IZ/2</f>
        <v>0</v>
      </c>
      <c r="J55" s="16"/>
      <c r="K55" s="17"/>
      <c r="L55" s="16" t="s">
        <v>21</v>
      </c>
      <c r="M55" s="17" t="s">
        <v>6</v>
      </c>
      <c r="N55" s="16" t="e">
        <f>RA</f>
        <v>#DIV/0!</v>
      </c>
      <c r="O55" s="17"/>
      <c r="P55" s="5"/>
      <c r="Q55" s="16"/>
      <c r="R55" s="16" t="s">
        <v>105</v>
      </c>
      <c r="S55" s="17" t="s">
        <v>6</v>
      </c>
      <c r="T55" s="16" t="e">
        <f>FZDL*FZVL*FZNL*FS*FRVL*LEL</f>
        <v>#DIV/0!</v>
      </c>
      <c r="U55" s="5"/>
      <c r="V55" s="5"/>
      <c r="W55" s="16" t="s">
        <v>120</v>
      </c>
      <c r="X55" s="17" t="s">
        <v>6</v>
      </c>
      <c r="Y55" s="84" t="e">
        <f>Y36*FZDM*FZVM*FZNM*FS*FRVM</f>
        <v>#DIV/0!</v>
      </c>
      <c r="Z55" s="17"/>
      <c r="AA55" s="16"/>
      <c r="AB55" s="16" t="s">
        <v>113</v>
      </c>
      <c r="AC55" s="17" t="s">
        <v>6</v>
      </c>
      <c r="AD55" s="84" t="e">
        <f>AD36*FZDZ*FZVZ*FZNZ*FS*FRVZ</f>
        <v>#DIV/0!</v>
      </c>
      <c r="AE55" s="17"/>
      <c r="AI55" s="16"/>
    </row>
    <row r="56" spans="2:54" x14ac:dyDescent="0.25">
      <c r="B56" s="17" t="s">
        <v>71</v>
      </c>
      <c r="C56" s="17" t="s">
        <v>6</v>
      </c>
      <c r="D56" s="25">
        <f>0.5*KVL*KHL</f>
        <v>0</v>
      </c>
      <c r="J56" s="17"/>
      <c r="K56" s="17"/>
      <c r="M56" s="17"/>
      <c r="N56" s="5"/>
      <c r="P56" s="5"/>
      <c r="Q56" s="104"/>
      <c r="R56" s="17"/>
      <c r="S56" s="17"/>
      <c r="T56" s="5"/>
      <c r="U56" s="5"/>
      <c r="V56" s="5"/>
      <c r="W56" s="17"/>
      <c r="X56" s="17"/>
      <c r="Y56" s="5"/>
      <c r="Z56" s="104"/>
      <c r="AA56" s="17"/>
      <c r="AB56" s="17"/>
      <c r="AC56" s="17"/>
      <c r="AD56" s="5"/>
      <c r="AE56" s="51"/>
      <c r="AH56" s="99"/>
      <c r="AI56" s="16"/>
    </row>
    <row r="57" spans="2:54" x14ac:dyDescent="0.25">
      <c r="B57" s="17" t="s">
        <v>54</v>
      </c>
      <c r="C57" s="38" t="s">
        <v>6</v>
      </c>
      <c r="D57" s="25">
        <f>MAX(MV*0.45,IF(MAX(MK,0.5*KLB*KVL)&gt;1/6*KVL^2,(1/6*KVL^2+1.5*(MAX(MK,0.5*KLB*KVL)-1/6*KVL^2)),MAX(MK,0.5*KLB*KVL)))</f>
        <v>0</v>
      </c>
      <c r="H57" s="25"/>
      <c r="J57" s="17"/>
      <c r="K57" s="17"/>
      <c r="L57" s="4" t="s">
        <v>37</v>
      </c>
      <c r="M57" s="105" t="s">
        <v>6</v>
      </c>
      <c r="N57" s="5" t="e">
        <f>OZ</f>
        <v>#DIV/0!</v>
      </c>
      <c r="P57" s="5"/>
      <c r="Q57" s="5"/>
      <c r="R57" s="105" t="s">
        <v>142</v>
      </c>
      <c r="S57" s="105" t="s">
        <v>6</v>
      </c>
      <c r="T57" s="56" t="e">
        <f>(1.015*PG+FHL*TV)*1.005</f>
        <v>#DIV/0!</v>
      </c>
      <c r="U57" s="5"/>
      <c r="V57" s="5"/>
      <c r="W57" s="105" t="s">
        <v>141</v>
      </c>
      <c r="X57" s="105" t="s">
        <v>6</v>
      </c>
      <c r="Y57" s="56" t="e">
        <f>(1.015*PG+FHM*TV)*1.005</f>
        <v>#DIV/0!</v>
      </c>
      <c r="Z57" s="17"/>
      <c r="AA57" s="5"/>
      <c r="AB57" s="105" t="s">
        <v>140</v>
      </c>
      <c r="AC57" s="105" t="s">
        <v>6</v>
      </c>
      <c r="AD57" s="56" t="e">
        <f>(1.015*PG+AD58*TV)*1.005</f>
        <v>#DIV/0!</v>
      </c>
      <c r="AF57" s="5"/>
      <c r="AG57" s="5"/>
      <c r="AH57" s="5"/>
      <c r="AI57" s="17"/>
    </row>
    <row r="58" spans="2:54" x14ac:dyDescent="0.25">
      <c r="B58" s="17" t="s">
        <v>72</v>
      </c>
      <c r="C58" s="17" t="s">
        <v>6</v>
      </c>
      <c r="D58" s="85" t="e">
        <f>LWL/D^(1/3)</f>
        <v>#DIV/0!</v>
      </c>
      <c r="J58" s="17"/>
      <c r="K58" s="17"/>
      <c r="L58" s="38" t="s">
        <v>39</v>
      </c>
      <c r="M58" s="17" t="s">
        <v>6</v>
      </c>
      <c r="N58" s="44">
        <f>IF(MH&gt;2.4*MV_MK,1.17*(MH/MV_MK)/2.4,1.17)</f>
        <v>1.17</v>
      </c>
      <c r="P58" s="5"/>
      <c r="Q58" s="5"/>
      <c r="R58" s="17" t="s">
        <v>135</v>
      </c>
      <c r="S58" s="17" t="s">
        <v>6</v>
      </c>
      <c r="T58" s="21">
        <f>IF(MH&gt;2.4*MV_MK,1.2*(MH/MV_MK)/2.4,1.2)</f>
        <v>1.2</v>
      </c>
      <c r="U58" s="5"/>
      <c r="V58" s="5"/>
      <c r="W58" s="17" t="s">
        <v>136</v>
      </c>
      <c r="X58" s="17" t="s">
        <v>6</v>
      </c>
      <c r="Y58" s="87">
        <f>IF(MH&gt;2.4*MV_MK,1.15*(MH/MV_MK)/2.4,1.15)</f>
        <v>1.1499999999999999</v>
      </c>
      <c r="Z58" s="17"/>
      <c r="AA58" s="5"/>
      <c r="AB58" s="17" t="s">
        <v>139</v>
      </c>
      <c r="AC58" s="17" t="s">
        <v>6</v>
      </c>
      <c r="AD58" s="21">
        <f>IF(MH&gt;2.4*MV_MK,1.089*(MH/MV_MK)/2.4,1.089)</f>
        <v>1.089</v>
      </c>
      <c r="AE58" s="56"/>
      <c r="AI58" s="17"/>
    </row>
    <row r="59" spans="2:54" x14ac:dyDescent="0.25">
      <c r="B59" s="17" t="s">
        <v>116</v>
      </c>
      <c r="C59" s="38" t="s">
        <v>6</v>
      </c>
      <c r="D59" s="85" t="e">
        <f>SQRT(GOZ)/D^(1/3)</f>
        <v>#DIV/0!</v>
      </c>
      <c r="AE59" s="21"/>
      <c r="AI59" s="17"/>
    </row>
    <row r="60" spans="2:54" x14ac:dyDescent="0.25">
      <c r="B60" s="17" t="s">
        <v>117</v>
      </c>
      <c r="C60" s="38" t="s">
        <v>6</v>
      </c>
      <c r="D60" s="17" t="e">
        <f>SLG*GZV</f>
        <v>#DIV/0!</v>
      </c>
    </row>
    <row r="61" spans="2:54" ht="16.5" customHeight="1" x14ac:dyDescent="0.3">
      <c r="C61" s="17"/>
      <c r="D61" s="5"/>
      <c r="K61" s="48"/>
      <c r="L61" s="151" t="s">
        <v>181</v>
      </c>
      <c r="M61" s="152"/>
      <c r="N61" s="152"/>
      <c r="R61" s="106" t="s">
        <v>170</v>
      </c>
      <c r="S61" s="107"/>
      <c r="T61" s="107"/>
      <c r="U61" s="108"/>
      <c r="V61" s="108"/>
      <c r="W61" s="106" t="s">
        <v>171</v>
      </c>
      <c r="X61" s="107"/>
      <c r="Y61" s="107"/>
      <c r="AA61" s="5"/>
      <c r="AB61" s="106" t="s">
        <v>172</v>
      </c>
      <c r="AC61" s="107"/>
      <c r="AD61" s="107"/>
    </row>
    <row r="62" spans="2:54" x14ac:dyDescent="0.25">
      <c r="B62" s="17" t="s">
        <v>76</v>
      </c>
      <c r="C62" s="38" t="s">
        <v>6</v>
      </c>
      <c r="D62" s="17" t="e">
        <f>IF(GOZ&lt;GOZmin,GOZmin/GOZ,1)</f>
        <v>#DIV/0!</v>
      </c>
      <c r="I62" s="5"/>
      <c r="J62" s="17"/>
      <c r="K62" s="48"/>
      <c r="L62" s="16" t="s">
        <v>16</v>
      </c>
      <c r="M62" s="17"/>
      <c r="N62" s="162">
        <f>LE</f>
        <v>0</v>
      </c>
      <c r="O62" s="84"/>
      <c r="P62" s="5"/>
      <c r="Q62" s="17"/>
      <c r="R62" s="16" t="s">
        <v>128</v>
      </c>
      <c r="S62" s="5" t="s">
        <v>6</v>
      </c>
      <c r="T62" s="67">
        <f>(3*LWL+LR)/4</f>
        <v>0</v>
      </c>
      <c r="U62" s="5"/>
      <c r="V62" s="5"/>
      <c r="W62" s="16" t="s">
        <v>131</v>
      </c>
      <c r="X62" s="5" t="s">
        <v>6</v>
      </c>
      <c r="Y62" s="67">
        <f>(1.75*LWL+LR)/2.75</f>
        <v>0</v>
      </c>
      <c r="AA62" s="16"/>
      <c r="AB62" s="16" t="s">
        <v>147</v>
      </c>
      <c r="AC62" s="5" t="s">
        <v>6</v>
      </c>
      <c r="AD62" s="84">
        <f>LEZ</f>
        <v>0</v>
      </c>
    </row>
    <row r="63" spans="2:54" x14ac:dyDescent="0.25">
      <c r="B63" s="38" t="s">
        <v>74</v>
      </c>
      <c r="C63" s="17" t="s">
        <v>6</v>
      </c>
      <c r="D63" s="87" t="e">
        <f>SGmin/SLG</f>
        <v>#DIV/0!</v>
      </c>
      <c r="I63" s="5"/>
      <c r="J63" s="17"/>
      <c r="K63" s="17"/>
      <c r="L63" s="16" t="s">
        <v>34</v>
      </c>
      <c r="M63" s="17"/>
      <c r="N63" s="84" t="e">
        <f>1-(0.03791*(ZD_z-ZDS)^2)+(0.2139*(ZD_z-ZDS))</f>
        <v>#DIV/0!</v>
      </c>
      <c r="O63" s="84"/>
      <c r="P63" s="5"/>
      <c r="Q63" s="5"/>
      <c r="R63" s="16" t="s">
        <v>92</v>
      </c>
      <c r="S63" s="5" t="s">
        <v>6</v>
      </c>
      <c r="T63" s="67" t="e">
        <f>1-0.0596*(ZD_z-ZDSL)^2+0.2005*(ZD_z-ZDSL)</f>
        <v>#DIV/0!</v>
      </c>
      <c r="U63" s="5"/>
      <c r="V63" s="5"/>
      <c r="W63" s="16" t="s">
        <v>98</v>
      </c>
      <c r="X63" s="5" t="s">
        <v>6</v>
      </c>
      <c r="Y63" s="84" t="e">
        <f>1-0.07017*(ZD_z-ZDSM)^2+0.1809*(ZD_z-ZDSM)</f>
        <v>#DIV/0!</v>
      </c>
      <c r="AA63" s="16"/>
      <c r="AB63" s="16" t="s">
        <v>155</v>
      </c>
      <c r="AC63" s="5" t="s">
        <v>6</v>
      </c>
      <c r="AD63" s="66" t="e">
        <f>1-0.04895*(ZD_z-ZDSZ)^2+0.1267*(ZD_z-ZDSZ)</f>
        <v>#DIV/0!</v>
      </c>
      <c r="AH63" s="5"/>
      <c r="AI63" s="16"/>
    </row>
    <row r="64" spans="2:54" ht="18.75" x14ac:dyDescent="0.3">
      <c r="B64" s="38" t="s">
        <v>75</v>
      </c>
      <c r="C64" s="38" t="s">
        <v>6</v>
      </c>
      <c r="D64" s="59">
        <f>-0.067*L^2+2.226*L-1.395</f>
        <v>-1.395</v>
      </c>
      <c r="I64" s="5"/>
      <c r="J64" s="17"/>
      <c r="K64" s="81"/>
      <c r="L64" s="18" t="s">
        <v>157</v>
      </c>
      <c r="M64" s="17"/>
      <c r="N64" s="88" t="e">
        <f>SQRT(OZ_z)/(D^(1/3))</f>
        <v>#DIV/0!</v>
      </c>
      <c r="O64" s="88"/>
      <c r="P64" s="5"/>
      <c r="Q64" s="5"/>
      <c r="R64" s="97"/>
      <c r="S64" s="5"/>
      <c r="T64" s="5"/>
      <c r="U64" s="5"/>
      <c r="V64" s="5"/>
      <c r="W64" s="5"/>
      <c r="X64" s="5"/>
      <c r="Y64" s="5"/>
      <c r="AA64" s="5"/>
      <c r="AB64" s="5"/>
      <c r="AC64" s="5"/>
      <c r="AD64" s="5"/>
      <c r="AE64" s="67"/>
      <c r="AH64" s="17"/>
      <c r="AI64" s="16"/>
      <c r="AM64" s="5"/>
      <c r="AN64" s="5"/>
      <c r="AO64" s="5"/>
      <c r="AP64" s="5"/>
    </row>
    <row r="65" spans="2:51" ht="18.75" x14ac:dyDescent="0.3">
      <c r="D65" s="5"/>
      <c r="I65" s="5"/>
      <c r="J65" s="81"/>
      <c r="K65" s="25"/>
      <c r="L65" s="90" t="s">
        <v>84</v>
      </c>
      <c r="M65" s="17"/>
      <c r="N65" s="84" t="e">
        <f>FZV</f>
        <v>#DIV/0!</v>
      </c>
      <c r="O65" s="84"/>
      <c r="P65" s="5"/>
      <c r="Q65" s="5"/>
      <c r="R65" s="16" t="s">
        <v>94</v>
      </c>
      <c r="S65" s="5" t="s">
        <v>6</v>
      </c>
      <c r="T65" s="92" t="e">
        <f>FZVL</f>
        <v>#DIV/0!</v>
      </c>
      <c r="U65" s="5"/>
      <c r="V65" s="5"/>
      <c r="W65" s="16" t="s">
        <v>100</v>
      </c>
      <c r="X65" s="5" t="s">
        <v>6</v>
      </c>
      <c r="Y65" s="66" t="e">
        <f>FZVM</f>
        <v>#DIV/0!</v>
      </c>
      <c r="AA65" s="16"/>
      <c r="AB65" s="16" t="s">
        <v>108</v>
      </c>
      <c r="AC65" s="5" t="s">
        <v>6</v>
      </c>
      <c r="AD65" s="66" t="e">
        <f>FZVZ</f>
        <v>#DIV/0!</v>
      </c>
      <c r="AM65" s="17"/>
      <c r="AN65" s="5"/>
      <c r="AO65" s="5"/>
      <c r="AP65" s="17"/>
      <c r="AQ65" s="17"/>
      <c r="AR65" s="17"/>
      <c r="AS65" s="17"/>
      <c r="AT65" s="17"/>
      <c r="AU65" s="17"/>
      <c r="AV65" s="17"/>
    </row>
    <row r="66" spans="2:51" x14ac:dyDescent="0.25">
      <c r="B66" s="17" t="s">
        <v>79</v>
      </c>
      <c r="C66" s="38" t="s">
        <v>6</v>
      </c>
      <c r="D66" s="70">
        <f>0.9*HVL*HBH</f>
        <v>0</v>
      </c>
      <c r="I66" s="5"/>
      <c r="J66" s="48"/>
      <c r="K66" s="25"/>
      <c r="L66" s="16" t="s">
        <v>89</v>
      </c>
      <c r="M66" s="17"/>
      <c r="N66" s="84" t="e">
        <f>1-(0.2856*(ZN_z-ZNS)^2)+(0.5648*(ZN_z-ZNS))</f>
        <v>#DIV/0!</v>
      </c>
      <c r="O66" s="84"/>
      <c r="P66" s="5"/>
      <c r="Q66" s="5"/>
      <c r="R66" s="16" t="s">
        <v>95</v>
      </c>
      <c r="S66" s="5" t="s">
        <v>6</v>
      </c>
      <c r="T66" s="67" t="e">
        <f>1-0.0449*(ZNL_z-ZNSL)^2+1.021*(ZNL_z-ZNSL)</f>
        <v>#DIV/0!</v>
      </c>
      <c r="U66" s="5"/>
      <c r="V66" s="5"/>
      <c r="W66" s="16" t="s">
        <v>102</v>
      </c>
      <c r="X66" s="5" t="s">
        <v>6</v>
      </c>
      <c r="Y66" s="66" t="e">
        <f>1-0.2978*(ZNM_z-ZNSM)^2+0.4364*(ZNM_z-ZNSM)</f>
        <v>#DIV/0!</v>
      </c>
      <c r="AA66" s="16"/>
      <c r="AB66" s="16" t="s">
        <v>110</v>
      </c>
      <c r="AC66" s="5" t="s">
        <v>6</v>
      </c>
      <c r="AD66" s="66" t="e">
        <f>1-0.1318*(ZNZ_z-ZNSZ)^2+0.223*(ZNZ_z-ZNSZ)</f>
        <v>#DIV/0!</v>
      </c>
      <c r="AE66" s="84"/>
      <c r="AH66" s="17"/>
      <c r="AI66" s="16"/>
      <c r="AM66" s="17"/>
      <c r="AN66" s="5"/>
      <c r="AO66" s="5"/>
      <c r="AP66" s="5"/>
      <c r="AQ66" s="17"/>
      <c r="AR66" s="17"/>
      <c r="AS66" s="17"/>
      <c r="AT66" s="17"/>
      <c r="AU66" s="17"/>
      <c r="AV66" s="17"/>
    </row>
    <row r="67" spans="2:51" ht="18.75" x14ac:dyDescent="0.3">
      <c r="B67" s="109" t="s">
        <v>124</v>
      </c>
      <c r="C67" s="17" t="s">
        <v>6</v>
      </c>
      <c r="D67" s="70">
        <f>2.4*(MV+MK)</f>
        <v>0</v>
      </c>
      <c r="E67" s="25"/>
      <c r="F67" s="25"/>
      <c r="G67" s="63"/>
      <c r="H67" s="25"/>
      <c r="I67" s="25"/>
      <c r="J67" s="17"/>
      <c r="K67" s="25"/>
      <c r="L67" s="18" t="s">
        <v>156</v>
      </c>
      <c r="M67" s="17"/>
      <c r="N67" s="85" t="e">
        <f>ZNZ_z</f>
        <v>#DIV/0!</v>
      </c>
      <c r="O67" s="85"/>
      <c r="P67" s="5"/>
      <c r="Q67" s="5"/>
      <c r="R67" s="17" t="s">
        <v>134</v>
      </c>
      <c r="S67" s="5" t="s">
        <v>6</v>
      </c>
      <c r="T67" s="85" t="e">
        <f>ZNZ_z</f>
        <v>#DIV/0!</v>
      </c>
      <c r="U67" s="5"/>
      <c r="V67" s="5"/>
      <c r="W67" s="17" t="s">
        <v>137</v>
      </c>
      <c r="X67" s="5" t="s">
        <v>6</v>
      </c>
      <c r="Y67" s="85" t="e">
        <f>ZNZ_z</f>
        <v>#DIV/0!</v>
      </c>
      <c r="Z67" s="81"/>
      <c r="AA67" s="16"/>
      <c r="AB67" s="18" t="s">
        <v>138</v>
      </c>
      <c r="AC67" s="5" t="s">
        <v>6</v>
      </c>
      <c r="AD67" s="85" t="e">
        <f>SQRT(OZ_z)/SQRT(NO)</f>
        <v>#DIV/0!</v>
      </c>
      <c r="AE67" s="66"/>
      <c r="AH67" s="17"/>
      <c r="AI67" s="16"/>
      <c r="AM67" s="17"/>
      <c r="AN67" s="17"/>
      <c r="AO67" s="17"/>
      <c r="AP67" s="5"/>
      <c r="AQ67" s="17"/>
      <c r="AR67" s="17"/>
      <c r="AS67" s="17"/>
      <c r="AT67" s="17"/>
      <c r="AU67" s="17"/>
      <c r="AV67" s="17"/>
      <c r="AW67" s="38"/>
      <c r="AX67" s="38"/>
    </row>
    <row r="68" spans="2:51" ht="18.75" x14ac:dyDescent="0.3">
      <c r="B68" s="38" t="s">
        <v>77</v>
      </c>
      <c r="C68" s="38" t="s">
        <v>6</v>
      </c>
      <c r="D68" s="25">
        <f>MV+MK</f>
        <v>0</v>
      </c>
      <c r="E68" s="25"/>
      <c r="F68" s="25"/>
      <c r="G68" s="63"/>
      <c r="H68" s="25"/>
      <c r="I68" s="25"/>
      <c r="J68" s="81"/>
      <c r="K68" s="25"/>
      <c r="L68" s="110" t="s">
        <v>17</v>
      </c>
      <c r="M68" s="17"/>
      <c r="N68" s="84">
        <f>FRV</f>
        <v>0</v>
      </c>
      <c r="O68" s="17"/>
      <c r="P68" s="5"/>
      <c r="Q68" s="5"/>
      <c r="R68" s="16" t="s">
        <v>18</v>
      </c>
      <c r="S68" s="5" t="s">
        <v>6</v>
      </c>
      <c r="T68" s="67">
        <f>FRVL</f>
        <v>0</v>
      </c>
      <c r="U68" s="5"/>
      <c r="V68" s="5"/>
      <c r="W68" s="16" t="s">
        <v>22</v>
      </c>
      <c r="X68" s="5" t="s">
        <v>6</v>
      </c>
      <c r="Y68" s="66">
        <f>+FRVM</f>
        <v>0</v>
      </c>
      <c r="AA68" s="16"/>
      <c r="AB68" s="16" t="s">
        <v>91</v>
      </c>
      <c r="AC68" s="5" t="s">
        <v>6</v>
      </c>
      <c r="AD68" s="66">
        <f>FRVZ</f>
        <v>0</v>
      </c>
      <c r="AE68" s="66"/>
      <c r="AH68" s="81"/>
      <c r="AI68" s="16"/>
      <c r="AM68" s="17"/>
      <c r="AN68" s="17"/>
      <c r="AO68" s="17"/>
      <c r="AP68" s="5"/>
      <c r="AQ68" s="17"/>
      <c r="AR68" s="17"/>
      <c r="AS68" s="17"/>
      <c r="AT68" s="17"/>
      <c r="AU68" s="17"/>
      <c r="AV68" s="17"/>
      <c r="AW68" s="38"/>
      <c r="AX68" s="38"/>
    </row>
    <row r="69" spans="2:51" x14ac:dyDescent="0.25">
      <c r="B69" s="25"/>
      <c r="C69" s="25"/>
      <c r="D69" s="25"/>
      <c r="E69" s="25"/>
      <c r="F69" s="25"/>
      <c r="G69" s="63"/>
      <c r="H69" s="25"/>
      <c r="I69" s="25"/>
      <c r="J69" s="25"/>
      <c r="K69" s="16"/>
      <c r="L69" s="16" t="s">
        <v>146</v>
      </c>
      <c r="M69" s="17"/>
      <c r="N69" s="92" t="e">
        <f>N62*N63*N65*N66*FS*N68</f>
        <v>#DIV/0!</v>
      </c>
      <c r="O69" s="84"/>
      <c r="P69" s="5"/>
      <c r="Q69" s="5"/>
      <c r="R69" s="16" t="s">
        <v>143</v>
      </c>
      <c r="S69" s="5" t="s">
        <v>6</v>
      </c>
      <c r="T69" s="67" t="e">
        <f>T63*FZVL*T66*FS*FRVL*T62</f>
        <v>#DIV/0!</v>
      </c>
      <c r="U69" s="5"/>
      <c r="V69" s="5"/>
      <c r="W69" s="16" t="s">
        <v>144</v>
      </c>
      <c r="X69" s="5" t="s">
        <v>6</v>
      </c>
      <c r="Y69" s="66" t="e">
        <f>Y62*Y63*FZVM*Y66*FS*FRVM</f>
        <v>#DIV/0!</v>
      </c>
      <c r="AA69" s="16"/>
      <c r="AB69" s="16" t="s">
        <v>145</v>
      </c>
      <c r="AC69" s="5" t="s">
        <v>6</v>
      </c>
      <c r="AD69" s="66" t="e">
        <f>AD62*AD63*FZVZ*AD66*FS*FRVZ</f>
        <v>#DIV/0!</v>
      </c>
      <c r="AE69" s="17"/>
      <c r="AH69" s="17"/>
      <c r="AI69" s="16"/>
      <c r="AM69" s="17"/>
      <c r="AN69" s="17"/>
      <c r="AO69" s="17"/>
      <c r="AP69" s="5"/>
      <c r="AQ69" s="17"/>
      <c r="AR69" s="17"/>
      <c r="AS69" s="17"/>
      <c r="AT69" s="17"/>
      <c r="AU69" s="17"/>
      <c r="AV69" s="17"/>
      <c r="AW69" s="38"/>
      <c r="AX69" s="38"/>
    </row>
    <row r="70" spans="2:51" x14ac:dyDescent="0.25">
      <c r="B70" s="18" t="s">
        <v>185</v>
      </c>
      <c r="C70" s="25" t="s">
        <v>6</v>
      </c>
      <c r="D70" s="7" t="e">
        <f>((GVL ^ 2) + (GBL ^ 2) - (GDT^ 2)) / (2 * GVL* GBL)</f>
        <v>#DIV/0!</v>
      </c>
      <c r="E70" s="25"/>
      <c r="F70" s="25"/>
      <c r="G70" s="63"/>
      <c r="H70" s="25"/>
      <c r="I70" s="25"/>
      <c r="J70" s="25"/>
      <c r="N70" s="5"/>
      <c r="O70" s="84"/>
      <c r="P70" s="5"/>
      <c r="Q70" s="5"/>
      <c r="R70" s="5"/>
      <c r="S70" s="5"/>
      <c r="T70" s="5"/>
      <c r="U70" s="5"/>
      <c r="V70" s="5"/>
      <c r="W70" s="5"/>
      <c r="X70" s="5"/>
      <c r="Y70" s="5"/>
      <c r="AA70" s="5"/>
      <c r="AB70" s="5"/>
      <c r="AC70" s="5"/>
      <c r="AD70" s="5"/>
      <c r="AE70" s="66"/>
      <c r="AH70" s="17"/>
      <c r="AI70" s="16"/>
      <c r="AM70" s="17"/>
      <c r="AN70" s="17"/>
      <c r="AO70" s="17"/>
      <c r="AP70" s="5"/>
      <c r="AQ70" s="38"/>
      <c r="AR70" s="38"/>
      <c r="AS70" s="38"/>
      <c r="AT70" s="17"/>
      <c r="AU70" s="38"/>
      <c r="AV70" s="38"/>
      <c r="AW70" s="38"/>
      <c r="AX70" s="38"/>
    </row>
    <row r="71" spans="2:51" x14ac:dyDescent="0.25">
      <c r="B71" s="86"/>
      <c r="C71" s="17"/>
      <c r="D71" s="86"/>
      <c r="E71" s="25"/>
      <c r="F71" s="25"/>
      <c r="G71" s="63"/>
      <c r="H71" s="25"/>
      <c r="I71" s="25"/>
      <c r="J71" s="25"/>
      <c r="N71" s="5"/>
      <c r="O71" s="92"/>
      <c r="P71" s="5"/>
      <c r="Q71" s="5"/>
      <c r="R71" s="111" t="s">
        <v>175</v>
      </c>
      <c r="S71" s="5" t="s">
        <v>6</v>
      </c>
      <c r="T71" s="56" t="e">
        <f>OZ_z</f>
        <v>#DIV/0!</v>
      </c>
      <c r="U71" s="5"/>
      <c r="V71" s="5"/>
      <c r="W71" s="111" t="s">
        <v>173</v>
      </c>
      <c r="X71" s="5" t="s">
        <v>6</v>
      </c>
      <c r="Y71" s="56" t="e">
        <f>OZ_z</f>
        <v>#DIV/0!</v>
      </c>
      <c r="AA71" s="5"/>
      <c r="AB71" s="111" t="s">
        <v>153</v>
      </c>
      <c r="AC71" s="5" t="s">
        <v>6</v>
      </c>
      <c r="AD71" s="56" t="e">
        <f>(1.015*PG+1*TV)*1.005</f>
        <v>#DIV/0!</v>
      </c>
      <c r="AE71" s="66"/>
      <c r="AH71" s="17"/>
      <c r="AI71" s="17"/>
      <c r="AM71" s="5"/>
      <c r="AN71" s="17"/>
      <c r="AO71" s="17"/>
      <c r="AP71" s="5"/>
      <c r="AQ71" s="38"/>
      <c r="AR71" s="38"/>
      <c r="AS71" s="38"/>
      <c r="AT71" s="17"/>
      <c r="AU71" s="38"/>
      <c r="AV71" s="38"/>
      <c r="AW71" s="38"/>
      <c r="AX71" s="38"/>
    </row>
    <row r="72" spans="2:51" x14ac:dyDescent="0.25">
      <c r="C72" s="17"/>
      <c r="D72" s="86"/>
      <c r="E72" s="25"/>
      <c r="F72" s="25"/>
      <c r="G72" s="63"/>
      <c r="H72" s="25"/>
      <c r="I72" s="25"/>
      <c r="J72" s="25"/>
      <c r="N72" s="5"/>
      <c r="P72" s="5"/>
      <c r="Q72" s="5"/>
      <c r="R72" s="21" t="s">
        <v>176</v>
      </c>
      <c r="S72" s="5" t="s">
        <v>6</v>
      </c>
      <c r="T72" s="21">
        <v>1</v>
      </c>
      <c r="U72" s="5"/>
      <c r="V72" s="5"/>
      <c r="W72" s="21" t="s">
        <v>174</v>
      </c>
      <c r="X72" s="5" t="s">
        <v>6</v>
      </c>
      <c r="Y72" s="21">
        <v>1</v>
      </c>
      <c r="AA72" s="16"/>
      <c r="AB72" s="21" t="s">
        <v>154</v>
      </c>
      <c r="AC72" s="5" t="s">
        <v>6</v>
      </c>
      <c r="AD72" s="21">
        <v>1</v>
      </c>
      <c r="AH72" s="17"/>
      <c r="AI72" s="17"/>
      <c r="AM72" s="17"/>
      <c r="AN72" s="17"/>
      <c r="AO72" s="17"/>
      <c r="AP72" s="5"/>
      <c r="AQ72" s="38"/>
      <c r="AR72" s="38"/>
      <c r="AS72" s="38"/>
      <c r="AT72" s="17"/>
      <c r="AU72" s="38"/>
      <c r="AV72" s="38"/>
      <c r="AW72" s="38"/>
      <c r="AX72" s="38"/>
    </row>
    <row r="73" spans="2:51" ht="9" customHeight="1" thickBot="1" x14ac:dyDescent="0.3">
      <c r="B73" s="41"/>
      <c r="C73" s="11"/>
      <c r="D73" s="126"/>
      <c r="E73" s="11"/>
      <c r="F73" s="11"/>
      <c r="G73" s="127"/>
      <c r="H73" s="11"/>
      <c r="I73" s="11"/>
      <c r="J73" s="41"/>
      <c r="K73" s="41"/>
      <c r="L73" s="128"/>
      <c r="M73" s="41"/>
      <c r="N73" s="41"/>
      <c r="O73" s="11"/>
      <c r="P73" s="41"/>
      <c r="Q73" s="41"/>
      <c r="R73" s="41"/>
      <c r="S73" s="41"/>
      <c r="T73" s="41"/>
      <c r="U73" s="41"/>
      <c r="V73" s="41"/>
      <c r="W73" s="41"/>
      <c r="X73" s="41"/>
      <c r="Y73" s="41"/>
      <c r="Z73" s="11"/>
      <c r="AA73" s="41"/>
      <c r="AB73" s="41"/>
      <c r="AC73" s="41"/>
      <c r="AD73" s="41"/>
      <c r="AE73" s="129"/>
      <c r="AF73" s="41"/>
      <c r="AG73" s="41"/>
      <c r="AH73" s="11"/>
      <c r="AI73" s="17"/>
      <c r="AM73" s="5"/>
      <c r="AN73" s="5"/>
      <c r="AO73" s="5"/>
      <c r="AP73" s="5"/>
      <c r="AQ73" s="38"/>
      <c r="AR73" s="38"/>
      <c r="AS73" s="38"/>
      <c r="AT73" s="17"/>
      <c r="AU73" s="38"/>
      <c r="AV73" s="38"/>
      <c r="AW73" s="38"/>
      <c r="AX73" s="38"/>
    </row>
    <row r="74" spans="2:51" x14ac:dyDescent="0.25">
      <c r="B74" s="17"/>
      <c r="C74" s="17"/>
      <c r="D74" s="86"/>
      <c r="E74" s="25"/>
      <c r="F74" s="25"/>
      <c r="G74" s="63"/>
      <c r="H74" s="25"/>
      <c r="I74" s="25"/>
      <c r="J74" s="25"/>
      <c r="AM74" s="17"/>
      <c r="AN74" s="17"/>
      <c r="AO74" s="17"/>
      <c r="AP74" s="17"/>
      <c r="AQ74" s="17"/>
      <c r="AR74" s="38"/>
      <c r="AS74" s="38"/>
      <c r="AT74" s="17"/>
      <c r="AU74" s="38"/>
      <c r="AV74" s="38"/>
      <c r="AW74" s="38"/>
      <c r="AX74" s="38"/>
    </row>
    <row r="75" spans="2:51" x14ac:dyDescent="0.25">
      <c r="B75" s="17"/>
      <c r="C75" s="17"/>
      <c r="D75" s="86"/>
      <c r="Y75" s="5"/>
      <c r="AM75" s="38"/>
      <c r="AN75" s="38"/>
      <c r="AO75" s="38"/>
      <c r="AP75" s="38"/>
      <c r="AQ75" s="38"/>
      <c r="AR75" s="38"/>
      <c r="AS75" s="38"/>
      <c r="AT75" s="38"/>
      <c r="AU75" s="38"/>
      <c r="AV75" s="38"/>
      <c r="AW75" s="38"/>
      <c r="AX75" s="38"/>
    </row>
    <row r="76" spans="2:51" x14ac:dyDescent="0.25">
      <c r="AB76" s="17"/>
      <c r="AC76" s="38"/>
      <c r="AD76" s="38"/>
      <c r="AE76" s="17"/>
      <c r="AF76" s="38"/>
      <c r="AG76" s="38"/>
      <c r="AH76" s="38"/>
      <c r="AI76" s="38"/>
      <c r="AJ76" s="38"/>
      <c r="AK76" s="38"/>
      <c r="AL76" s="38"/>
      <c r="AM76" s="38"/>
      <c r="AN76" s="38"/>
      <c r="AO76" s="38"/>
      <c r="AP76" s="38"/>
      <c r="AQ76" s="38"/>
      <c r="AR76" s="38"/>
      <c r="AS76" s="38"/>
      <c r="AT76" s="38"/>
      <c r="AU76" s="38"/>
      <c r="AV76" s="38"/>
      <c r="AW76" s="38"/>
      <c r="AX76" s="38"/>
      <c r="AY76" s="38"/>
    </row>
    <row r="77" spans="2:51" x14ac:dyDescent="0.25">
      <c r="AB77" s="17"/>
      <c r="AF77" s="38"/>
      <c r="AG77" s="38"/>
      <c r="AH77" s="38"/>
      <c r="AI77" s="38"/>
      <c r="AJ77" s="38"/>
      <c r="AK77" s="38"/>
      <c r="AL77" s="38"/>
      <c r="AM77" s="38"/>
      <c r="AN77" s="38"/>
      <c r="AO77" s="38"/>
      <c r="AP77" s="38"/>
      <c r="AQ77" s="38"/>
      <c r="AR77" s="38"/>
      <c r="AS77" s="38"/>
      <c r="AT77" s="38"/>
      <c r="AU77" s="38"/>
      <c r="AV77" s="38"/>
      <c r="AW77" s="38"/>
      <c r="AX77" s="38"/>
      <c r="AY77" s="38"/>
    </row>
    <row r="78" spans="2:51" x14ac:dyDescent="0.25">
      <c r="AQ78" s="5"/>
    </row>
    <row r="79" spans="2:51" x14ac:dyDescent="0.25">
      <c r="AQ79" s="5"/>
    </row>
    <row r="80" spans="2:51" x14ac:dyDescent="0.25">
      <c r="AQ80" s="5"/>
    </row>
  </sheetData>
  <sheetProtection sheet="1" objects="1" scenarios="1"/>
  <customSheetViews>
    <customSheetView guid="{D833AB8F-9EBD-4397-BB38-BA2F376A880C}" showPageBreaks="1" showGridLines="0" printArea="1">
      <selection activeCell="L78" sqref="L78"/>
      <pageMargins left="0.7" right="0.7" top="0.75" bottom="0.75" header="0.3" footer="0.3"/>
      <pageSetup paperSize="9" orientation="portrait" horizontalDpi="4294967292" verticalDpi="4294967292"/>
    </customSheetView>
  </customSheetViews>
  <mergeCells count="16">
    <mergeCell ref="AB35:AD35"/>
    <mergeCell ref="M5:N5"/>
    <mergeCell ref="M6:N6"/>
    <mergeCell ref="R6:S6"/>
    <mergeCell ref="AC4:AF4"/>
    <mergeCell ref="B33:AH33"/>
    <mergeCell ref="J2:Y2"/>
    <mergeCell ref="L61:N61"/>
    <mergeCell ref="Y5:Z5"/>
    <mergeCell ref="Y6:Z6"/>
    <mergeCell ref="L35:N35"/>
    <mergeCell ref="R35:T35"/>
    <mergeCell ref="R5:S5"/>
    <mergeCell ref="U5:W5"/>
    <mergeCell ref="U6:W6"/>
    <mergeCell ref="W35:Y35"/>
  </mergeCells>
  <conditionalFormatting sqref="J11">
    <cfRule type="cellIs" dxfId="17" priority="20" operator="notBetween">
      <formula>$L$11</formula>
      <formula>$N$11</formula>
    </cfRule>
  </conditionalFormatting>
  <conditionalFormatting sqref="J12">
    <cfRule type="cellIs" dxfId="16" priority="17" operator="notBetween">
      <formula>$L$12</formula>
      <formula>$N$12</formula>
    </cfRule>
  </conditionalFormatting>
  <conditionalFormatting sqref="J13">
    <cfRule type="cellIs" dxfId="15" priority="16" operator="notBetween">
      <formula>$L$13</formula>
      <formula>$N$13</formula>
    </cfRule>
  </conditionalFormatting>
  <conditionalFormatting sqref="T13">
    <cfRule type="cellIs" dxfId="14" priority="15" operator="lessThan">
      <formula>$W$13</formula>
    </cfRule>
  </conditionalFormatting>
  <conditionalFormatting sqref="AD9">
    <cfRule type="cellIs" dxfId="13" priority="14" operator="greaterThan">
      <formula>$AH$9</formula>
    </cfRule>
  </conditionalFormatting>
  <conditionalFormatting sqref="AD10">
    <cfRule type="cellIs" dxfId="12" priority="13" operator="greaterThan">
      <formula>$AH$10</formula>
    </cfRule>
  </conditionalFormatting>
  <conditionalFormatting sqref="AD13">
    <cfRule type="cellIs" dxfId="11" priority="12" operator="greaterThan">
      <formula>$AH$13</formula>
    </cfRule>
  </conditionalFormatting>
  <conditionalFormatting sqref="AD18">
    <cfRule type="cellIs" dxfId="10" priority="11" operator="notBetween">
      <formula>$AF$18</formula>
      <formula>$AH$18</formula>
    </cfRule>
  </conditionalFormatting>
  <conditionalFormatting sqref="N20">
    <cfRule type="cellIs" dxfId="9" priority="10" operator="lessThan">
      <formula>$R$20</formula>
    </cfRule>
  </conditionalFormatting>
  <conditionalFormatting sqref="N22">
    <cfRule type="cellIs" dxfId="8" priority="9" operator="greaterThan">
      <formula>$R$22</formula>
    </cfRule>
  </conditionalFormatting>
  <conditionalFormatting sqref="N26">
    <cfRule type="cellIs" dxfId="7" priority="8" operator="greaterThan">
      <formula>$R$26</formula>
    </cfRule>
  </conditionalFormatting>
  <conditionalFormatting sqref="N27">
    <cfRule type="cellIs" dxfId="6" priority="7" operator="notBetween">
      <formula>$P$27</formula>
      <formula>$R$27</formula>
    </cfRule>
  </conditionalFormatting>
  <conditionalFormatting sqref="N25">
    <cfRule type="cellIs" dxfId="5" priority="6" operator="greaterThan">
      <formula>$R$25</formula>
    </cfRule>
  </conditionalFormatting>
  <conditionalFormatting sqref="N30">
    <cfRule type="cellIs" dxfId="4" priority="5" operator="greaterThan">
      <formula>$R$30</formula>
    </cfRule>
  </conditionalFormatting>
  <conditionalFormatting sqref="D20">
    <cfRule type="cellIs" dxfId="3" priority="4" operator="notBetween">
      <formula>$F$20</formula>
      <formula>$H$20</formula>
    </cfRule>
  </conditionalFormatting>
  <conditionalFormatting sqref="D19">
    <cfRule type="cellIs" dxfId="2" priority="3" operator="greaterThan">
      <formula>$H$19</formula>
    </cfRule>
  </conditionalFormatting>
  <conditionalFormatting sqref="D21">
    <cfRule type="cellIs" dxfId="1" priority="2" operator="lessThan">
      <formula>$H$21</formula>
    </cfRule>
  </conditionalFormatting>
  <conditionalFormatting sqref="D22">
    <cfRule type="cellIs" dxfId="0" priority="1" operator="lessThan">
      <formula>$H$22</formula>
    </cfRule>
  </conditionalFormatting>
  <hyperlinks>
    <hyperlink ref="AC3" r:id="rId1" xr:uid="{00000000-0004-0000-0000-000000000000}"/>
  </hyperlinks>
  <pageMargins left="0.75" right="0.75" top="1" bottom="1" header="0.5" footer="0.5"/>
  <pageSetup paperSize="9"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9"/>
  <sheetViews>
    <sheetView workbookViewId="0">
      <selection activeCell="C3" sqref="C3"/>
    </sheetView>
  </sheetViews>
  <sheetFormatPr defaultColWidth="8.875" defaultRowHeight="15.75" x14ac:dyDescent="0.25"/>
  <cols>
    <col min="1" max="2" width="8.875" style="138"/>
    <col min="3" max="3" width="83.5" style="138" customWidth="1"/>
    <col min="4" max="16384" width="8.875" style="138"/>
  </cols>
  <sheetData>
    <row r="2" spans="2:3" ht="24" customHeight="1" x14ac:dyDescent="0.25">
      <c r="B2" s="160" t="s">
        <v>191</v>
      </c>
      <c r="C2" s="160"/>
    </row>
    <row r="3" spans="2:3" x14ac:dyDescent="0.25">
      <c r="B3" s="139" t="s">
        <v>0</v>
      </c>
      <c r="C3" s="139" t="s">
        <v>192</v>
      </c>
    </row>
    <row r="4" spans="2:3" x14ac:dyDescent="0.25">
      <c r="B4" s="139" t="s">
        <v>1</v>
      </c>
      <c r="C4" s="139" t="s">
        <v>193</v>
      </c>
    </row>
    <row r="5" spans="2:3" x14ac:dyDescent="0.25">
      <c r="B5" s="139" t="s">
        <v>2</v>
      </c>
      <c r="C5" s="139" t="s">
        <v>194</v>
      </c>
    </row>
    <row r="6" spans="2:3" x14ac:dyDescent="0.25">
      <c r="B6" s="139" t="s">
        <v>15</v>
      </c>
      <c r="C6" s="139" t="s">
        <v>195</v>
      </c>
    </row>
    <row r="7" spans="2:3" x14ac:dyDescent="0.25">
      <c r="B7" s="139" t="s">
        <v>4</v>
      </c>
      <c r="C7" s="139" t="s">
        <v>196</v>
      </c>
    </row>
    <row r="8" spans="2:3" ht="24" x14ac:dyDescent="0.25">
      <c r="B8" s="139" t="s">
        <v>3</v>
      </c>
      <c r="C8" s="139" t="s">
        <v>197</v>
      </c>
    </row>
    <row r="9" spans="2:3" ht="24" x14ac:dyDescent="0.25">
      <c r="B9" s="139" t="s">
        <v>10</v>
      </c>
      <c r="C9" s="139" t="s">
        <v>198</v>
      </c>
    </row>
    <row r="10" spans="2:3" x14ac:dyDescent="0.25">
      <c r="B10" s="139" t="s">
        <v>8</v>
      </c>
      <c r="C10" s="139" t="s">
        <v>199</v>
      </c>
    </row>
    <row r="11" spans="2:3" x14ac:dyDescent="0.25">
      <c r="B11" s="139" t="s">
        <v>9</v>
      </c>
      <c r="C11" s="139" t="s">
        <v>200</v>
      </c>
    </row>
    <row r="12" spans="2:3" x14ac:dyDescent="0.25">
      <c r="B12" s="139" t="s">
        <v>7</v>
      </c>
      <c r="C12" s="139" t="s">
        <v>201</v>
      </c>
    </row>
    <row r="13" spans="2:3" ht="24" x14ac:dyDescent="0.25">
      <c r="B13" s="139" t="s">
        <v>13</v>
      </c>
      <c r="C13" s="139" t="s">
        <v>202</v>
      </c>
    </row>
    <row r="14" spans="2:3" ht="24" x14ac:dyDescent="0.25">
      <c r="B14" s="139" t="s">
        <v>14</v>
      </c>
      <c r="C14" s="139" t="s">
        <v>203</v>
      </c>
    </row>
    <row r="15" spans="2:3" x14ac:dyDescent="0.25">
      <c r="B15" s="139" t="s">
        <v>11</v>
      </c>
      <c r="C15" s="139" t="s">
        <v>204</v>
      </c>
    </row>
    <row r="16" spans="2:3" x14ac:dyDescent="0.25">
      <c r="B16" s="139" t="s">
        <v>5</v>
      </c>
      <c r="C16" s="142" t="s">
        <v>205</v>
      </c>
    </row>
    <row r="17" spans="2:3" x14ac:dyDescent="0.25">
      <c r="B17" s="139" t="s">
        <v>19</v>
      </c>
      <c r="C17" s="139" t="s">
        <v>255</v>
      </c>
    </row>
    <row r="18" spans="2:3" x14ac:dyDescent="0.25">
      <c r="B18" s="139" t="s">
        <v>20</v>
      </c>
      <c r="C18" s="142" t="s">
        <v>206</v>
      </c>
    </row>
    <row r="19" spans="2:3" x14ac:dyDescent="0.25">
      <c r="B19" s="139" t="s">
        <v>24</v>
      </c>
      <c r="C19" s="139" t="s">
        <v>207</v>
      </c>
    </row>
    <row r="20" spans="2:3" x14ac:dyDescent="0.25">
      <c r="B20" s="139" t="s">
        <v>23</v>
      </c>
      <c r="C20" s="139" t="s">
        <v>208</v>
      </c>
    </row>
    <row r="21" spans="2:3" ht="24" x14ac:dyDescent="0.25">
      <c r="B21" s="139" t="s">
        <v>30</v>
      </c>
      <c r="C21" s="139" t="s">
        <v>209</v>
      </c>
    </row>
    <row r="22" spans="2:3" ht="36" x14ac:dyDescent="0.25">
      <c r="B22" s="139" t="s">
        <v>31</v>
      </c>
      <c r="C22" s="139" t="s">
        <v>210</v>
      </c>
    </row>
    <row r="23" spans="2:3" x14ac:dyDescent="0.25">
      <c r="B23" s="139" t="s">
        <v>78</v>
      </c>
      <c r="C23" s="139" t="s">
        <v>211</v>
      </c>
    </row>
    <row r="24" spans="2:3" x14ac:dyDescent="0.25">
      <c r="B24" s="140"/>
    </row>
    <row r="25" spans="2:3" x14ac:dyDescent="0.25">
      <c r="B25" s="160" t="s">
        <v>212</v>
      </c>
      <c r="C25" s="160"/>
    </row>
    <row r="26" spans="2:3" x14ac:dyDescent="0.25">
      <c r="B26" s="139" t="s">
        <v>55</v>
      </c>
      <c r="C26" s="139" t="s">
        <v>213</v>
      </c>
    </row>
    <row r="27" spans="2:3" x14ac:dyDescent="0.25">
      <c r="B27" s="139" t="s">
        <v>37</v>
      </c>
      <c r="C27" s="139" t="s">
        <v>214</v>
      </c>
    </row>
    <row r="28" spans="2:3" x14ac:dyDescent="0.25">
      <c r="B28" s="139" t="s">
        <v>40</v>
      </c>
      <c r="C28" s="139" t="s">
        <v>215</v>
      </c>
    </row>
    <row r="29" spans="2:3" x14ac:dyDescent="0.25">
      <c r="B29" s="139" t="s">
        <v>62</v>
      </c>
      <c r="C29" s="139" t="s">
        <v>216</v>
      </c>
    </row>
    <row r="30" spans="2:3" x14ac:dyDescent="0.25">
      <c r="B30" s="139" t="s">
        <v>61</v>
      </c>
      <c r="C30" s="139" t="s">
        <v>217</v>
      </c>
    </row>
    <row r="31" spans="2:3" x14ac:dyDescent="0.25">
      <c r="B31" s="139" t="s">
        <v>54</v>
      </c>
      <c r="C31" s="139" t="s">
        <v>218</v>
      </c>
    </row>
    <row r="32" spans="2:3" x14ac:dyDescent="0.25">
      <c r="B32" s="139" t="s">
        <v>21</v>
      </c>
      <c r="C32" s="139" t="s">
        <v>219</v>
      </c>
    </row>
    <row r="33" spans="2:3" x14ac:dyDescent="0.25">
      <c r="B33" s="139" t="s">
        <v>12</v>
      </c>
      <c r="C33" s="139" t="s">
        <v>220</v>
      </c>
    </row>
    <row r="34" spans="2:3" x14ac:dyDescent="0.25">
      <c r="B34" s="139" t="s">
        <v>25</v>
      </c>
      <c r="C34" s="139" t="s">
        <v>221</v>
      </c>
    </row>
    <row r="35" spans="2:3" x14ac:dyDescent="0.25">
      <c r="B35" s="139" t="s">
        <v>16</v>
      </c>
      <c r="C35" s="139" t="s">
        <v>222</v>
      </c>
    </row>
    <row r="36" spans="2:3" x14ac:dyDescent="0.25">
      <c r="B36" s="139" t="s">
        <v>17</v>
      </c>
      <c r="C36" s="139" t="s">
        <v>223</v>
      </c>
    </row>
    <row r="37" spans="2:3" x14ac:dyDescent="0.25">
      <c r="B37" s="139" t="s">
        <v>18</v>
      </c>
      <c r="C37" s="139" t="s">
        <v>224</v>
      </c>
    </row>
    <row r="38" spans="2:3" x14ac:dyDescent="0.25">
      <c r="B38" s="139" t="s">
        <v>22</v>
      </c>
      <c r="C38" s="139" t="s">
        <v>225</v>
      </c>
    </row>
    <row r="39" spans="2:3" x14ac:dyDescent="0.25">
      <c r="B39" s="139" t="s">
        <v>226</v>
      </c>
      <c r="C39" s="139" t="s">
        <v>227</v>
      </c>
    </row>
    <row r="40" spans="2:3" x14ac:dyDescent="0.25">
      <c r="B40" s="140"/>
    </row>
    <row r="41" spans="2:3" x14ac:dyDescent="0.25">
      <c r="B41" s="160" t="s">
        <v>228</v>
      </c>
      <c r="C41" s="160"/>
    </row>
    <row r="42" spans="2:3" x14ac:dyDescent="0.25">
      <c r="B42" s="139" t="s">
        <v>49</v>
      </c>
      <c r="C42" s="139" t="s">
        <v>229</v>
      </c>
    </row>
    <row r="43" spans="2:3" x14ac:dyDescent="0.25">
      <c r="B43" s="139" t="s">
        <v>50</v>
      </c>
      <c r="C43" s="139" t="s">
        <v>230</v>
      </c>
    </row>
    <row r="44" spans="2:3" x14ac:dyDescent="0.25">
      <c r="B44" s="139" t="s">
        <v>52</v>
      </c>
      <c r="C44" s="139" t="s">
        <v>231</v>
      </c>
    </row>
    <row r="45" spans="2:3" x14ac:dyDescent="0.25">
      <c r="B45" s="139" t="s">
        <v>51</v>
      </c>
      <c r="C45" s="139" t="s">
        <v>232</v>
      </c>
    </row>
    <row r="46" spans="2:3" x14ac:dyDescent="0.25">
      <c r="B46" s="139" t="s">
        <v>125</v>
      </c>
      <c r="C46" s="139" t="s">
        <v>233</v>
      </c>
    </row>
    <row r="47" spans="2:3" x14ac:dyDescent="0.25">
      <c r="B47" s="139" t="s">
        <v>63</v>
      </c>
      <c r="C47" s="139" t="s">
        <v>234</v>
      </c>
    </row>
    <row r="48" spans="2:3" x14ac:dyDescent="0.25">
      <c r="B48" s="139" t="s">
        <v>48</v>
      </c>
      <c r="C48" s="139" t="s">
        <v>235</v>
      </c>
    </row>
    <row r="49" spans="2:3" x14ac:dyDescent="0.25">
      <c r="B49" s="139" t="s">
        <v>64</v>
      </c>
      <c r="C49" s="139" t="s">
        <v>236</v>
      </c>
    </row>
    <row r="50" spans="2:3" x14ac:dyDescent="0.25">
      <c r="B50" s="139" t="s">
        <v>44</v>
      </c>
      <c r="C50" s="141" t="s">
        <v>237</v>
      </c>
    </row>
    <row r="51" spans="2:3" x14ac:dyDescent="0.25">
      <c r="B51" s="139" t="s">
        <v>42</v>
      </c>
      <c r="C51" s="139" t="s">
        <v>238</v>
      </c>
    </row>
    <row r="52" spans="2:3" x14ac:dyDescent="0.25">
      <c r="B52" s="139" t="s">
        <v>38</v>
      </c>
      <c r="C52" s="139" t="s">
        <v>239</v>
      </c>
    </row>
    <row r="53" spans="2:3" x14ac:dyDescent="0.25">
      <c r="B53" s="139"/>
      <c r="C53" s="139"/>
    </row>
    <row r="54" spans="2:3" x14ac:dyDescent="0.25">
      <c r="B54" s="160" t="s">
        <v>240</v>
      </c>
      <c r="C54" s="160"/>
    </row>
    <row r="55" spans="2:3" x14ac:dyDescent="0.25">
      <c r="B55" s="139" t="s">
        <v>57</v>
      </c>
      <c r="C55" s="139" t="s">
        <v>241</v>
      </c>
    </row>
    <row r="56" spans="2:3" x14ac:dyDescent="0.25">
      <c r="B56" s="139" t="s">
        <v>58</v>
      </c>
      <c r="C56" s="142" t="s">
        <v>242</v>
      </c>
    </row>
    <row r="57" spans="2:3" x14ac:dyDescent="0.25">
      <c r="B57" s="139" t="s">
        <v>56</v>
      </c>
      <c r="C57" s="139" t="s">
        <v>243</v>
      </c>
    </row>
    <row r="58" spans="2:3" x14ac:dyDescent="0.25">
      <c r="B58" s="139" t="s">
        <v>65</v>
      </c>
      <c r="C58" s="142" t="s">
        <v>244</v>
      </c>
    </row>
    <row r="59" spans="2:3" x14ac:dyDescent="0.25">
      <c r="B59" s="139"/>
      <c r="C59" s="142"/>
    </row>
    <row r="60" spans="2:3" x14ac:dyDescent="0.25">
      <c r="B60" s="160" t="s">
        <v>245</v>
      </c>
      <c r="C60" s="160"/>
    </row>
    <row r="61" spans="2:3" x14ac:dyDescent="0.25">
      <c r="B61" s="139" t="s">
        <v>68</v>
      </c>
      <c r="C61" s="139" t="s">
        <v>246</v>
      </c>
    </row>
    <row r="62" spans="2:3" x14ac:dyDescent="0.25">
      <c r="B62" s="139" t="s">
        <v>66</v>
      </c>
      <c r="C62" s="139" t="s">
        <v>247</v>
      </c>
    </row>
    <row r="63" spans="2:3" x14ac:dyDescent="0.25">
      <c r="B63" s="139" t="s">
        <v>67</v>
      </c>
      <c r="C63" s="139" t="s">
        <v>248</v>
      </c>
    </row>
    <row r="64" spans="2:3" x14ac:dyDescent="0.25">
      <c r="B64" s="142" t="s">
        <v>123</v>
      </c>
      <c r="C64" s="142" t="s">
        <v>249</v>
      </c>
    </row>
    <row r="65" spans="2:3" x14ac:dyDescent="0.25">
      <c r="B65" s="142"/>
      <c r="C65" s="142"/>
    </row>
    <row r="66" spans="2:3" x14ac:dyDescent="0.25">
      <c r="B66" s="160" t="s">
        <v>250</v>
      </c>
      <c r="C66" s="160"/>
    </row>
    <row r="67" spans="2:3" x14ac:dyDescent="0.25">
      <c r="B67" s="139" t="s">
        <v>59</v>
      </c>
      <c r="C67" s="139" t="s">
        <v>251</v>
      </c>
    </row>
    <row r="68" spans="2:3" x14ac:dyDescent="0.25">
      <c r="B68" s="139" t="s">
        <v>60</v>
      </c>
      <c r="C68" s="139" t="s">
        <v>252</v>
      </c>
    </row>
    <row r="69" spans="2:3" x14ac:dyDescent="0.25">
      <c r="B69" s="139" t="s">
        <v>253</v>
      </c>
      <c r="C69" s="139" t="s">
        <v>254</v>
      </c>
    </row>
  </sheetData>
  <mergeCells count="6">
    <mergeCell ref="B60:C60"/>
    <mergeCell ref="B66:C66"/>
    <mergeCell ref="B2:C2"/>
    <mergeCell ref="B25:C25"/>
    <mergeCell ref="B41:C41"/>
    <mergeCell ref="B54:C5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158</vt:i4>
      </vt:variant>
    </vt:vector>
  </HeadingPairs>
  <TitlesOfParts>
    <vt:vector size="160" baseType="lpstr">
      <vt:lpstr>Rekenmodel</vt:lpstr>
      <vt:lpstr>Afkortingen</vt:lpstr>
      <vt:lpstr>Rekenmodel!Afdrukbereik</vt:lpstr>
      <vt:lpstr>Rekenmodel!AG</vt:lpstr>
      <vt:lpstr>Rekenmodel!Am</vt:lpstr>
      <vt:lpstr>Rekenmodel!AVV</vt:lpstr>
      <vt:lpstr>Rekenmodel!Awv</vt:lpstr>
      <vt:lpstr>Rekenmodel!BW</vt:lpstr>
      <vt:lpstr>Rekenmodel!BWL</vt:lpstr>
      <vt:lpstr>Rekenmodel!Cp</vt:lpstr>
      <vt:lpstr>Rekenmodel!CS</vt:lpstr>
      <vt:lpstr>CW</vt:lpstr>
      <vt:lpstr>Rekenmodel!Cwv</vt:lpstr>
      <vt:lpstr>Rekenmodel!D</vt:lpstr>
      <vt:lpstr>Rekenmodel!DC</vt:lpstr>
      <vt:lpstr>Rekenmodel!DS</vt:lpstr>
      <vt:lpstr>Rekenmodel!FAL</vt:lpstr>
      <vt:lpstr>Rekenmodel!FALmin</vt:lpstr>
      <vt:lpstr>Rekenmodel!FG</vt:lpstr>
      <vt:lpstr>Rekenmodel!FGH</vt:lpstr>
      <vt:lpstr>Rekenmodel!FGO</vt:lpstr>
      <vt:lpstr>Rekenmodel!FH</vt:lpstr>
      <vt:lpstr>FHL</vt:lpstr>
      <vt:lpstr>FHM</vt:lpstr>
      <vt:lpstr>FHZ</vt:lpstr>
      <vt:lpstr>Rekenmodel!FOL</vt:lpstr>
      <vt:lpstr>Rekenmodel!FOZ</vt:lpstr>
      <vt:lpstr>Rekenmodel!FRV</vt:lpstr>
      <vt:lpstr>Rekenmodel!FRVL</vt:lpstr>
      <vt:lpstr>Rekenmodel!FRVM</vt:lpstr>
      <vt:lpstr>Rekenmodel!FRVZ</vt:lpstr>
      <vt:lpstr>Rekenmodel!FS</vt:lpstr>
      <vt:lpstr>Rekenmodel!FV</vt:lpstr>
      <vt:lpstr>Rekenmodel!FVH</vt:lpstr>
      <vt:lpstr>Rekenmodel!FVL</vt:lpstr>
      <vt:lpstr>Rekenmodel!FVO</vt:lpstr>
      <vt:lpstr>Rekenmodel!FZD</vt:lpstr>
      <vt:lpstr>Rekenmodel!FZDL</vt:lpstr>
      <vt:lpstr>Rekenmodel!FZDM</vt:lpstr>
      <vt:lpstr>Rekenmodel!FZDZ</vt:lpstr>
      <vt:lpstr>FZDZ_z</vt:lpstr>
      <vt:lpstr>FZDZV</vt:lpstr>
      <vt:lpstr>FZDZz</vt:lpstr>
      <vt:lpstr>Rekenmodel!FZN</vt:lpstr>
      <vt:lpstr>Rekenmodel!FZNL</vt:lpstr>
      <vt:lpstr>Rekenmodel!FZNM</vt:lpstr>
      <vt:lpstr>Rekenmodel!FZNZ</vt:lpstr>
      <vt:lpstr>Rekenmodel!FZV</vt:lpstr>
      <vt:lpstr>Rekenmodel!FZVL</vt:lpstr>
      <vt:lpstr>Rekenmodel!FZVM</vt:lpstr>
      <vt:lpstr>Rekenmodel!FZVZ</vt:lpstr>
      <vt:lpstr>Rekenmodel!GAL</vt:lpstr>
      <vt:lpstr>Rekenmodel!GBL</vt:lpstr>
      <vt:lpstr>Rekenmodel!GBP</vt:lpstr>
      <vt:lpstr>Rekenmodel!GDK</vt:lpstr>
      <vt:lpstr>Rekenmodel!GDT</vt:lpstr>
      <vt:lpstr>Rekenmodel!GOL</vt:lpstr>
      <vt:lpstr>Rekenmodel!GOZ</vt:lpstr>
      <vt:lpstr>Rekenmodel!GOZmin</vt:lpstr>
      <vt:lpstr>GPB</vt:lpstr>
      <vt:lpstr>Rekenmodel!GPO</vt:lpstr>
      <vt:lpstr>Rekenmodel!GVL</vt:lpstr>
      <vt:lpstr>GVLmin1</vt:lpstr>
      <vt:lpstr>Rekenmodel!GVLmin2</vt:lpstr>
      <vt:lpstr>GZV</vt:lpstr>
      <vt:lpstr>Rekenmodel!GZVmin</vt:lpstr>
      <vt:lpstr>Rekenmodel!HA</vt:lpstr>
      <vt:lpstr>Rekenmodel!HBH</vt:lpstr>
      <vt:lpstr>Rekenmodel!HOL</vt:lpstr>
      <vt:lpstr>Rekenmodel!HVL</vt:lpstr>
      <vt:lpstr>Rekenmodel!IZ</vt:lpstr>
      <vt:lpstr>Rekenmodel!J</vt:lpstr>
      <vt:lpstr>Rekenmodel!KHL</vt:lpstr>
      <vt:lpstr>Rekenmodel!KL</vt:lpstr>
      <vt:lpstr>Rekenmodel!KLB</vt:lpstr>
      <vt:lpstr>Rekenmodel!KVL</vt:lpstr>
      <vt:lpstr>Rekenmodel!L</vt:lpstr>
      <vt:lpstr>Rekenmodel!LE</vt:lpstr>
      <vt:lpstr>LEL</vt:lpstr>
      <vt:lpstr>LEM</vt:lpstr>
      <vt:lpstr>LEZ</vt:lpstr>
      <vt:lpstr>Rekenmodel!LOA</vt:lpstr>
      <vt:lpstr>Rekenmodel!LR</vt:lpstr>
      <vt:lpstr>Rekenmodel!LWL</vt:lpstr>
      <vt:lpstr>Rekenmodel!MG</vt:lpstr>
      <vt:lpstr>MGK</vt:lpstr>
      <vt:lpstr>MGT</vt:lpstr>
      <vt:lpstr>Rekenmodel!MH</vt:lpstr>
      <vt:lpstr>Rekenmodel!MK</vt:lpstr>
      <vt:lpstr>Rekenmodel!MV</vt:lpstr>
      <vt:lpstr>Rekenmodel!MV_MK</vt:lpstr>
      <vt:lpstr>Rekenmodel!NO</vt:lpstr>
      <vt:lpstr>Rekenmodel!OA</vt:lpstr>
      <vt:lpstr>Rekenmodel!OV</vt:lpstr>
      <vt:lpstr>Rekenmodel!OZ</vt:lpstr>
      <vt:lpstr>OZ_z</vt:lpstr>
      <vt:lpstr>OZL</vt:lpstr>
      <vt:lpstr>OZM</vt:lpstr>
      <vt:lpstr>OZV</vt:lpstr>
      <vt:lpstr>OZZ</vt:lpstr>
      <vt:lpstr>Rekenmodel!PG</vt:lpstr>
      <vt:lpstr>Rekenmodel!PV</vt:lpstr>
      <vt:lpstr>RA</vt:lpstr>
      <vt:lpstr>Rekenmodel!RG</vt:lpstr>
      <vt:lpstr>Rekenmodel!RL</vt:lpstr>
      <vt:lpstr>RL_z</vt:lpstr>
      <vt:lpstr>Rekenmodel!RM</vt:lpstr>
      <vt:lpstr>RM_z</vt:lpstr>
      <vt:lpstr>Rekenmodel!RMeen</vt:lpstr>
      <vt:lpstr>Rekenmodel!RMM</vt:lpstr>
      <vt:lpstr>Rekenmodel!RV</vt:lpstr>
      <vt:lpstr>Rekenmodel!RVS</vt:lpstr>
      <vt:lpstr>Rekenmodel!RVSL</vt:lpstr>
      <vt:lpstr>Rekenmodel!RVSM</vt:lpstr>
      <vt:lpstr>Rekenmodel!RVSZ</vt:lpstr>
      <vt:lpstr>Rekenmodel!RZ</vt:lpstr>
      <vt:lpstr>RZ_z</vt:lpstr>
      <vt:lpstr>S</vt:lpstr>
      <vt:lpstr>Rekenmodel!SGmin</vt:lpstr>
      <vt:lpstr>Rekenmodel!SLG</vt:lpstr>
      <vt:lpstr>Rekenmodel!SLGeen</vt:lpstr>
      <vt:lpstr>Rekenmodel!SLGmin</vt:lpstr>
      <vt:lpstr>Rekenmodel!TC</vt:lpstr>
      <vt:lpstr>Rekenmodel!TH</vt:lpstr>
      <vt:lpstr>THL</vt:lpstr>
      <vt:lpstr>THLS</vt:lpstr>
      <vt:lpstr>THM</vt:lpstr>
      <vt:lpstr>Rekenmodel!THS</vt:lpstr>
      <vt:lpstr>Rekenmodel!THSL</vt:lpstr>
      <vt:lpstr>Rekenmodel!THSM</vt:lpstr>
      <vt:lpstr>Rekenmodel!THSZ</vt:lpstr>
      <vt:lpstr>THZ</vt:lpstr>
      <vt:lpstr>Rekenmodel!TP</vt:lpstr>
      <vt:lpstr>Rekenmodel!TV</vt:lpstr>
      <vt:lpstr>TVFL</vt:lpstr>
      <vt:lpstr>TVFM</vt:lpstr>
      <vt:lpstr>TVFZ</vt:lpstr>
      <vt:lpstr>Rekenmodel!VBA</vt:lpstr>
      <vt:lpstr>Rekenmodel!VBV</vt:lpstr>
      <vt:lpstr>Rekenmodel!ZD</vt:lpstr>
      <vt:lpstr>ZD_z</vt:lpstr>
      <vt:lpstr>ZDL</vt:lpstr>
      <vt:lpstr>ZDM</vt:lpstr>
      <vt:lpstr>Rekenmodel!ZDS</vt:lpstr>
      <vt:lpstr>Rekenmodel!ZDSL</vt:lpstr>
      <vt:lpstr>Rekenmodel!ZDSM</vt:lpstr>
      <vt:lpstr>Rekenmodel!ZDSZ</vt:lpstr>
      <vt:lpstr>ZDZ</vt:lpstr>
      <vt:lpstr>Rekenmodel!ZN</vt:lpstr>
      <vt:lpstr>ZN_z</vt:lpstr>
      <vt:lpstr>ZNL</vt:lpstr>
      <vt:lpstr>ZNL_z</vt:lpstr>
      <vt:lpstr>ZNM</vt:lpstr>
      <vt:lpstr>ZNM_z</vt:lpstr>
      <vt:lpstr>Rekenmodel!ZNS</vt:lpstr>
      <vt:lpstr>Rekenmodel!ZNSL</vt:lpstr>
      <vt:lpstr>Rekenmodel!ZNSM</vt:lpstr>
      <vt:lpstr>Rekenmodel!ZNSZ</vt:lpstr>
      <vt:lpstr>ZNZ</vt:lpstr>
      <vt:lpstr>ZNZ_z</vt:lpstr>
    </vt:vector>
  </TitlesOfParts>
  <Company>TUD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Pluimers</dc:creator>
  <cp:lastModifiedBy>Pieter Pluimers</cp:lastModifiedBy>
  <cp:lastPrinted>2012-06-03T20:18:03Z</cp:lastPrinted>
  <dcterms:created xsi:type="dcterms:W3CDTF">2012-06-03T14:01:11Z</dcterms:created>
  <dcterms:modified xsi:type="dcterms:W3CDTF">2018-05-01T20:39:20Z</dcterms:modified>
</cp:coreProperties>
</file>