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showInkAnnotation="0" autoCompressPictures="0"/>
  <mc:AlternateContent xmlns:mc="http://schemas.openxmlformats.org/markup-compatibility/2006">
    <mc:Choice Requires="x15">
      <x15ac:absPath xmlns:x15ac="http://schemas.microsoft.com/office/spreadsheetml/2010/11/ac" url="C:\Users\Pieter Pluimers\Documents\7_VVA-klassenorganisatie\TVF\TVF 2018 rekenmodel\"/>
    </mc:Choice>
  </mc:AlternateContent>
  <xr:revisionPtr revIDLastSave="0" documentId="13_ncr:1_{ABF57BC3-7F94-4B60-92F3-DB62087C9A58}" xr6:coauthVersionLast="32" xr6:coauthVersionMax="32" xr10:uidLastSave="{00000000-0000-0000-0000-000000000000}"/>
  <bookViews>
    <workbookView xWindow="1965" yWindow="0" windowWidth="18180" windowHeight="16335" tabRatio="500" xr2:uid="{00000000-000D-0000-FFFF-FFFF00000000}"/>
  </bookViews>
  <sheets>
    <sheet name="Rekenmodel" sheetId="5" r:id="rId1"/>
    <sheet name="Afkortingen" sheetId="6" r:id="rId2"/>
  </sheets>
  <definedNames>
    <definedName name="_xlnm.Print_Area" localSheetId="0">Rekenmodel!$A$1:$AI$74</definedName>
    <definedName name="AG" localSheetId="0">Rekenmodel!$D$48</definedName>
    <definedName name="AG">#REF!</definedName>
    <definedName name="Am" localSheetId="0">Rekenmodel!$D$73</definedName>
    <definedName name="Am">#REF!</definedName>
    <definedName name="AVV" localSheetId="0">Rekenmodel!$D$52</definedName>
    <definedName name="AVV">#REF!</definedName>
    <definedName name="Awv" localSheetId="0">Rekenmodel!$D$75</definedName>
    <definedName name="Awv">#REF!</definedName>
    <definedName name="B" localSheetId="0">Rekenmodel!#REF!</definedName>
    <definedName name="B">#REF!</definedName>
    <definedName name="BM">Rekenmodel!#REF!</definedName>
    <definedName name="BW" localSheetId="0">Rekenmodel!$D$71</definedName>
    <definedName name="BW">#REF!</definedName>
    <definedName name="BWL" localSheetId="0">Rekenmodel!$J$13</definedName>
    <definedName name="BWL">#REF!</definedName>
    <definedName name="Cb" localSheetId="0">Rekenmodel!#REF!</definedName>
    <definedName name="Cb">#REF!</definedName>
    <definedName name="Cp" localSheetId="0">Rekenmodel!$D$72</definedName>
    <definedName name="Cp">#REF!</definedName>
    <definedName name="CS" localSheetId="0">Rekenmodel!$Y$11</definedName>
    <definedName name="CS">#REF!</definedName>
    <definedName name="CW">Rekenmodel!$Y$9</definedName>
    <definedName name="Cwv" localSheetId="0">Rekenmodel!$D$74</definedName>
    <definedName name="Cwv">#REF!</definedName>
    <definedName name="D" localSheetId="0">Rekenmodel!$D$41</definedName>
    <definedName name="D">#REF!</definedName>
    <definedName name="DC" localSheetId="0">Rekenmodel!$T$13</definedName>
    <definedName name="DC">#REF!</definedName>
    <definedName name="DS" localSheetId="0">Rekenmodel!$Y$10</definedName>
    <definedName name="DS">#REF!</definedName>
    <definedName name="FAL" localSheetId="0">Rekenmodel!$N$20</definedName>
    <definedName name="FAL">#REF!</definedName>
    <definedName name="FALmin" localSheetId="0">Rekenmodel!$D$38</definedName>
    <definedName name="FALmin">#REF!</definedName>
    <definedName name="FG" localSheetId="0">Rekenmodel!$D$28</definedName>
    <definedName name="FG">#REF!</definedName>
    <definedName name="FGH" localSheetId="0">Rekenmodel!$D$45</definedName>
    <definedName name="FGH">#REF!</definedName>
    <definedName name="FGO" localSheetId="0">Rekenmodel!$D$46</definedName>
    <definedName name="FGO">#REF!</definedName>
    <definedName name="FH" localSheetId="0">Rekenmodel!$N$58</definedName>
    <definedName name="FH">#REF!</definedName>
    <definedName name="FHL">Rekenmodel!$T$58</definedName>
    <definedName name="FHM">Rekenmodel!$Y$58</definedName>
    <definedName name="FHZ">Rekenmodel!$AD$58</definedName>
    <definedName name="FOL" localSheetId="0">Rekenmodel!$N$21</definedName>
    <definedName name="FOL">#REF!</definedName>
    <definedName name="FOZ" localSheetId="0">Rekenmodel!$D$62</definedName>
    <definedName name="FOZ">#REF!</definedName>
    <definedName name="FRV" localSheetId="0">Rekenmodel!$AD$28</definedName>
    <definedName name="FRV">#REF!</definedName>
    <definedName name="FRVL" localSheetId="0">Rekenmodel!$AD$29</definedName>
    <definedName name="FRVL">#REF!</definedName>
    <definedName name="FRVM" localSheetId="0">Rekenmodel!$AD$30</definedName>
    <definedName name="FRVM">#REF!</definedName>
    <definedName name="FRVZ" localSheetId="0">Rekenmodel!$AD$31</definedName>
    <definedName name="FRVZ">#REF!</definedName>
    <definedName name="FS" localSheetId="0">Rekenmodel!$AD$26</definedName>
    <definedName name="FS">#REF!</definedName>
    <definedName name="FV" localSheetId="0">Rekenmodel!$AD$21</definedName>
    <definedName name="FV">#REF!</definedName>
    <definedName name="FVH" localSheetId="0">Rekenmodel!$D$50</definedName>
    <definedName name="FVH">#REF!</definedName>
    <definedName name="FVL" localSheetId="0">Rekenmodel!$N$19</definedName>
    <definedName name="FVL">#REF!</definedName>
    <definedName name="FVO" localSheetId="0">Rekenmodel!$D$49</definedName>
    <definedName name="FVO">#REF!</definedName>
    <definedName name="FZD" localSheetId="0">Rekenmodel!$N$38</definedName>
    <definedName name="FZD">#REF!</definedName>
    <definedName name="FZDL" localSheetId="0">Rekenmodel!$T$38</definedName>
    <definedName name="FZDL">#REF!</definedName>
    <definedName name="FZDM" localSheetId="0">Rekenmodel!$Y$38</definedName>
    <definedName name="FZDM">#REF!</definedName>
    <definedName name="FZDZ" localSheetId="0">Rekenmodel!$AD$38</definedName>
    <definedName name="FZDZ">#REF!</definedName>
    <definedName name="FZDZ_z">Rekenmodel!$AD$63</definedName>
    <definedName name="FZDZV">Rekenmodel!$AD$63</definedName>
    <definedName name="FZDZz">Rekenmodel!$AD$63</definedName>
    <definedName name="FZN" localSheetId="0">Rekenmodel!$N$46</definedName>
    <definedName name="FZN">#REF!</definedName>
    <definedName name="FZNL" localSheetId="0">Rekenmodel!$T$46</definedName>
    <definedName name="FZNL">#REF!</definedName>
    <definedName name="FZNM" localSheetId="0">Rekenmodel!$Y$46</definedName>
    <definedName name="FZNM">#REF!</definedName>
    <definedName name="FZNZ" localSheetId="0">Rekenmodel!$AD$46</definedName>
    <definedName name="FZNZ">#REF!</definedName>
    <definedName name="FZV" localSheetId="0">Rekenmodel!$N$42</definedName>
    <definedName name="FZV">#REF!</definedName>
    <definedName name="FZVL" localSheetId="0">Rekenmodel!$T$42</definedName>
    <definedName name="FZVL">#REF!</definedName>
    <definedName name="FZVM" localSheetId="0">Rekenmodel!$Y$42</definedName>
    <definedName name="FZVM">#REF!</definedName>
    <definedName name="FZVZ" localSheetId="0">Rekenmodel!$AD$42</definedName>
    <definedName name="FZVZ">#REF!</definedName>
    <definedName name="GAL" localSheetId="0">Rekenmodel!$D$24</definedName>
    <definedName name="GAL">#REF!</definedName>
    <definedName name="GBL" localSheetId="0">Rekenmodel!$D$19</definedName>
    <definedName name="GBL">#REF!</definedName>
    <definedName name="GBP" localSheetId="0">Rekenmodel!$D$20</definedName>
    <definedName name="GBP">#REF!</definedName>
    <definedName name="GDK" localSheetId="0">Rekenmodel!$D$26</definedName>
    <definedName name="GDK">#REF!</definedName>
    <definedName name="GDT" localSheetId="0">Rekenmodel!$D$25</definedName>
    <definedName name="GDT">#REF!</definedName>
    <definedName name="GOL" localSheetId="0">Rekenmodel!$D$22</definedName>
    <definedName name="GOL">#REF!</definedName>
    <definedName name="GOZ" localSheetId="0">Rekenmodel!$AD$18</definedName>
    <definedName name="GOZ">#REF!</definedName>
    <definedName name="GOZmin" localSheetId="0">Rekenmodel!$AF$18</definedName>
    <definedName name="GOZmin">#REF!</definedName>
    <definedName name="GPB">Rekenmodel!$D$20</definedName>
    <definedName name="GPO" localSheetId="0">Rekenmodel!$D$23</definedName>
    <definedName name="GPO">#REF!</definedName>
    <definedName name="GVL" localSheetId="0">Rekenmodel!$D$21</definedName>
    <definedName name="GVL">#REF!</definedName>
    <definedName name="GVLmin1">Rekenmodel!$D$36</definedName>
    <definedName name="GVLmin2" localSheetId="0">Rekenmodel!$D$37</definedName>
    <definedName name="GVLmin2">#REF!</definedName>
    <definedName name="GZV">Rekenmodel!$D$59</definedName>
    <definedName name="GZVmin" localSheetId="0">Rekenmodel!$D$63</definedName>
    <definedName name="GZVmin">#REF!</definedName>
    <definedName name="HA" localSheetId="0">Rekenmodel!$D$55</definedName>
    <definedName name="HA">#REF!</definedName>
    <definedName name="HBH" localSheetId="0">Rekenmodel!$N$27</definedName>
    <definedName name="HBH">#REF!</definedName>
    <definedName name="HOL" localSheetId="0">Rekenmodel!$N$26</definedName>
    <definedName name="HOL">#REF!</definedName>
    <definedName name="HVL" localSheetId="0">Rekenmodel!$N$25</definedName>
    <definedName name="HVL">#REF!</definedName>
    <definedName name="IZ" localSheetId="0">Rekenmodel!$AD$10</definedName>
    <definedName name="IZ">#REF!</definedName>
    <definedName name="J" localSheetId="0">Rekenmodel!$AD$11</definedName>
    <definedName name="J">#REF!</definedName>
    <definedName name="KHL" localSheetId="0">Rekenmodel!$Y$20</definedName>
    <definedName name="KHL">#REF!</definedName>
    <definedName name="KL" localSheetId="0">Rekenmodel!$D$57</definedName>
    <definedName name="KL">#REF!</definedName>
    <definedName name="KLB" localSheetId="0">Rekenmodel!$AD$12</definedName>
    <definedName name="KLB">#REF!</definedName>
    <definedName name="KVL" localSheetId="0">Rekenmodel!$Y$19</definedName>
    <definedName name="KVL">#REF!</definedName>
    <definedName name="L" localSheetId="0">Rekenmodel!$D$10</definedName>
    <definedName name="L">#REF!</definedName>
    <definedName name="LE" localSheetId="0">Rekenmodel!$AD$27</definedName>
    <definedName name="LE">#REF!</definedName>
    <definedName name="LEL">Rekenmodel!$T$36</definedName>
    <definedName name="LEM">Rekenmodel!$Y$36</definedName>
    <definedName name="LEZ">Rekenmodel!$AD$36</definedName>
    <definedName name="LOA" localSheetId="0">Rekenmodel!$D$9</definedName>
    <definedName name="LOA">#REF!</definedName>
    <definedName name="LR" localSheetId="0">Rekenmodel!$D$12</definedName>
    <definedName name="LR">#REF!</definedName>
    <definedName name="LWL" localSheetId="0">Rekenmodel!$D$11</definedName>
    <definedName name="LWL">#REF!</definedName>
    <definedName name="MG" localSheetId="0">Rekenmodel!$D$27</definedName>
    <definedName name="MG">#REF!</definedName>
    <definedName name="MGK">Rekenmodel!$D$43</definedName>
    <definedName name="MGT">Rekenmodel!$D$44</definedName>
    <definedName name="MH" localSheetId="0">Rekenmodel!$D$66</definedName>
    <definedName name="MH">#REF!</definedName>
    <definedName name="MK" localSheetId="0">Rekenmodel!$D$56</definedName>
    <definedName name="MK">#REF!</definedName>
    <definedName name="MV" localSheetId="0">Rekenmodel!$AD$22</definedName>
    <definedName name="MV">#REF!</definedName>
    <definedName name="MV_MK" localSheetId="0">Rekenmodel!$D$68</definedName>
    <definedName name="MV_MK">#REF!</definedName>
    <definedName name="NO" localSheetId="0">Rekenmodel!$T$12</definedName>
    <definedName name="NO">#REF!</definedName>
    <definedName name="OA" localSheetId="0">Rekenmodel!$J$12</definedName>
    <definedName name="OA">#REF!</definedName>
    <definedName name="OV" localSheetId="0">Rekenmodel!$J$11</definedName>
    <definedName name="OV">#REF!</definedName>
    <definedName name="OZ" localSheetId="0">Rekenmodel!$AD$19</definedName>
    <definedName name="OZ">#REF!</definedName>
    <definedName name="OZ_z">Rekenmodel!$AD$71</definedName>
    <definedName name="OZL">Rekenmodel!$T$57</definedName>
    <definedName name="OZM">Rekenmodel!$Y$57</definedName>
    <definedName name="OZV">Rekenmodel!$AD$71</definedName>
    <definedName name="OZZ">Rekenmodel!$AD$57</definedName>
    <definedName name="OZZz">Rekenmodel!#REF!</definedName>
    <definedName name="PG" localSheetId="0">Rekenmodel!$D$29</definedName>
    <definedName name="PG">#REF!</definedName>
    <definedName name="PV" localSheetId="0">Rekenmodel!$D$53</definedName>
    <definedName name="PV">#REF!</definedName>
    <definedName name="RA">Rekenmodel!$AD$24</definedName>
    <definedName name="RG" localSheetId="0">Rekenmodel!$D$47</definedName>
    <definedName name="RG">#REF!</definedName>
    <definedName name="RL" localSheetId="0">Rekenmodel!$T$55</definedName>
    <definedName name="RL">#REF!</definedName>
    <definedName name="RL_z">Rekenmodel!$T$69</definedName>
    <definedName name="RM" localSheetId="0">Rekenmodel!$D$13</definedName>
    <definedName name="RM">#REF!</definedName>
    <definedName name="RM_z">Rekenmodel!$Y$69</definedName>
    <definedName name="RMeen" localSheetId="0">Rekenmodel!$D$13</definedName>
    <definedName name="RMeen">#REF!</definedName>
    <definedName name="RMM" localSheetId="0">Rekenmodel!$Y$55</definedName>
    <definedName name="RMM">#REF!</definedName>
    <definedName name="RV" localSheetId="0">Rekenmodel!$D$51</definedName>
    <definedName name="RV">#REF!</definedName>
    <definedName name="RVromp" localSheetId="0">Rekenmodel!#REF!</definedName>
    <definedName name="RVromp">#REF!</definedName>
    <definedName name="RVrompL" localSheetId="0">Rekenmodel!#REF!</definedName>
    <definedName name="RVrompL">#REF!</definedName>
    <definedName name="RVrompM" localSheetId="0">Rekenmodel!#REF!</definedName>
    <definedName name="RVrompM">#REF!</definedName>
    <definedName name="RVrompZ" localSheetId="0">Rekenmodel!#REF!</definedName>
    <definedName name="RVrompZ">#REF!</definedName>
    <definedName name="RVS" localSheetId="0">Rekenmodel!$N$53</definedName>
    <definedName name="RVS">#REF!</definedName>
    <definedName name="RVSL" localSheetId="0">Rekenmodel!$T$53</definedName>
    <definedName name="RVSL">#REF!</definedName>
    <definedName name="RVSM" localSheetId="0">Rekenmodel!$Y$53</definedName>
    <definedName name="RVSM">#REF!</definedName>
    <definedName name="RVSZ" localSheetId="0">Rekenmodel!$AD$53</definedName>
    <definedName name="RVSZ">#REF!</definedName>
    <definedName name="RZ" localSheetId="0">Rekenmodel!$AD$55</definedName>
    <definedName name="RZ">#REF!</definedName>
    <definedName name="RZ_z">Rekenmodel!$AD$69</definedName>
    <definedName name="S">Rekenmodel!$D$70</definedName>
    <definedName name="SGmin" localSheetId="0">Rekenmodel!$D$64</definedName>
    <definedName name="SGmin">#REF!</definedName>
    <definedName name="SLG" localSheetId="0">Rekenmodel!$D$58</definedName>
    <definedName name="SLG">#REF!</definedName>
    <definedName name="SLGee" localSheetId="0">Rekenmodel!#REF!</definedName>
    <definedName name="SLGee">#REF!</definedName>
    <definedName name="SLGeen" localSheetId="0">Rekenmodel!$D$39</definedName>
    <definedName name="SLGeen">#REF!</definedName>
    <definedName name="SLGmin" localSheetId="0">Rekenmodel!$D$40</definedName>
    <definedName name="SLGmin">#REF!</definedName>
    <definedName name="TC" localSheetId="0">Rekenmodel!$T$11</definedName>
    <definedName name="TC">#REF!</definedName>
    <definedName name="TH" localSheetId="0">Rekenmodel!$AD$25</definedName>
    <definedName name="TH">#REF!</definedName>
    <definedName name="TH\">Rekenmodel!#REF!</definedName>
    <definedName name="THL">Rekenmodel!$T$43</definedName>
    <definedName name="THLS">Rekenmodel!$T$44</definedName>
    <definedName name="THM">Rekenmodel!$Y$43</definedName>
    <definedName name="THS" localSheetId="0">Rekenmodel!$N$44</definedName>
    <definedName name="THS">#REF!</definedName>
    <definedName name="THSL" localSheetId="0">Rekenmodel!$T$44</definedName>
    <definedName name="THSL">#REF!</definedName>
    <definedName name="THSM" localSheetId="0">Rekenmodel!$Y$44</definedName>
    <definedName name="THSM">#REF!</definedName>
    <definedName name="THSZ" localSheetId="0">Rekenmodel!$AD$44</definedName>
    <definedName name="THSZ">#REF!</definedName>
    <definedName name="THZ">Rekenmodel!$AD$43</definedName>
    <definedName name="TP" localSheetId="0">Rekenmodel!$N$22</definedName>
    <definedName name="TP">#REF!</definedName>
    <definedName name="TV" localSheetId="0">Rekenmodel!$AD$20</definedName>
    <definedName name="TV">#REF!</definedName>
    <definedName name="TVF">Rekenmodel!#REF!</definedName>
    <definedName name="TVFL">Rekenmodel!$R$6</definedName>
    <definedName name="TVFM">Rekenmodel!$U$6</definedName>
    <definedName name="TVFZ">Rekenmodel!$Y$6</definedName>
    <definedName name="VBA" localSheetId="0">Rekenmodel!$J$10</definedName>
    <definedName name="VBA">#REF!</definedName>
    <definedName name="VBV" localSheetId="0">Rekenmodel!$J$9</definedName>
    <definedName name="VBV">#REF!</definedName>
    <definedName name="werr" localSheetId="0">Rekenmodel!#REF!</definedName>
    <definedName name="werr">#REF!</definedName>
    <definedName name="Y" localSheetId="0">Rekenmodel!#REF!</definedName>
    <definedName name="Y">#REF!</definedName>
    <definedName name="YU" localSheetId="0">Rekenmodel!#REF!</definedName>
    <definedName name="YU">#REF!</definedName>
    <definedName name="Z_D833AB8F_9EBD_4397_BB38_BA2F376A880C_.wvu.PrintArea" localSheetId="0" hidden="1">Rekenmodel!$A$1:$AI$74</definedName>
    <definedName name="ZD" localSheetId="0">Rekenmodel!$N$39</definedName>
    <definedName name="ZD">#REF!</definedName>
    <definedName name="ZD_z">Rekenmodel!$N$64</definedName>
    <definedName name="ZDL">Rekenmodel!$T$39</definedName>
    <definedName name="ZDL_z">Rekenmodel!#REF!</definedName>
    <definedName name="ZDM">Rekenmodel!$Y$39</definedName>
    <definedName name="ZDM_z">Rekenmodel!#REF!</definedName>
    <definedName name="ZDS" localSheetId="0">Rekenmodel!$N$40</definedName>
    <definedName name="ZDS">#REF!</definedName>
    <definedName name="ZDSL" localSheetId="0">Rekenmodel!$T$40</definedName>
    <definedName name="ZDSL">#REF!</definedName>
    <definedName name="ZDSM" localSheetId="0">Rekenmodel!$Y$40</definedName>
    <definedName name="ZDSM">#REF!</definedName>
    <definedName name="ZDSZ" localSheetId="0">Rekenmodel!$AD$40</definedName>
    <definedName name="ZDSZ">#REF!</definedName>
    <definedName name="ZDZ">Rekenmodel!$AD$39</definedName>
    <definedName name="ZDZ_z">Rekenmodel!#REF!</definedName>
    <definedName name="ZDZ1">Rekenmodel!#REF!</definedName>
    <definedName name="ZDZV">Rekenmodel!#REF!</definedName>
    <definedName name="ZDZz">Rekenmodel!#REF!</definedName>
    <definedName name="ZN" localSheetId="0">Rekenmodel!$N$47</definedName>
    <definedName name="ZN">#REF!</definedName>
    <definedName name="ZN_z">Rekenmodel!$N$67</definedName>
    <definedName name="ZNL">Rekenmodel!$T$47</definedName>
    <definedName name="ZNL_z">Rekenmodel!$T$67</definedName>
    <definedName name="ZNM">Rekenmodel!$Y$47</definedName>
    <definedName name="ZNM_z">Rekenmodel!$Y$67</definedName>
    <definedName name="ZNS" localSheetId="0">Rekenmodel!$N$48</definedName>
    <definedName name="ZNS">#REF!</definedName>
    <definedName name="ZNSL" localSheetId="0">Rekenmodel!$T$48</definedName>
    <definedName name="ZNSL">#REF!</definedName>
    <definedName name="ZNSM" localSheetId="0">Rekenmodel!$Y$48</definedName>
    <definedName name="ZNSM">#REF!</definedName>
    <definedName name="ZNSZ" localSheetId="0">Rekenmodel!$AD$48</definedName>
    <definedName name="ZNSZ">#REF!</definedName>
    <definedName name="ZNZ">Rekenmodel!$AD$47</definedName>
    <definedName name="ZNZ_z">Rekenmodel!$AD$67</definedName>
  </definedNames>
  <calcPr calcId="179017" iterateDelta="1E-4" concurrentCalc="0"/>
  <customWorkbookViews>
    <customWorkbookView name="pp" guid="{D833AB8F-9EBD-4397-BB38-BA2F376A880C}" maximized="1" windowWidth="1916" windowHeight="855" tabRatio="500" activeSheetId="5"/>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37" i="5" l="1"/>
  <c r="D45" i="5"/>
  <c r="D43" i="5"/>
  <c r="D44" i="5"/>
  <c r="D27" i="5"/>
  <c r="D48" i="5"/>
  <c r="D47" i="5"/>
  <c r="D28" i="5"/>
  <c r="D64" i="5"/>
  <c r="D11" i="5"/>
  <c r="D39" i="5"/>
  <c r="D40" i="5"/>
  <c r="D41" i="5"/>
  <c r="D58" i="5"/>
  <c r="D63" i="5"/>
  <c r="AF18" i="5"/>
  <c r="AD22" i="5"/>
  <c r="D56" i="5"/>
  <c r="AD18" i="5"/>
  <c r="D62" i="5"/>
  <c r="D46" i="5"/>
  <c r="D29" i="5"/>
  <c r="D38" i="5"/>
  <c r="D50" i="5"/>
  <c r="D52" i="5"/>
  <c r="D51" i="5"/>
  <c r="AD21" i="5"/>
  <c r="D49" i="5"/>
  <c r="D53" i="5"/>
  <c r="D57" i="5"/>
  <c r="AD20" i="5"/>
  <c r="D68" i="5"/>
  <c r="D66" i="5"/>
  <c r="AD58" i="5"/>
  <c r="AD57" i="5"/>
  <c r="AD47" i="5"/>
  <c r="AD46" i="5"/>
  <c r="D55" i="5"/>
  <c r="AD43" i="5"/>
  <c r="AD42" i="5"/>
  <c r="AD39" i="5"/>
  <c r="AD38" i="5"/>
  <c r="AD36" i="5"/>
  <c r="AD71" i="5"/>
  <c r="AD67" i="5"/>
  <c r="AD66" i="5"/>
  <c r="N64" i="5"/>
  <c r="AD63" i="5"/>
  <c r="AD26" i="5"/>
  <c r="AD55" i="5"/>
  <c r="Y6" i="5"/>
  <c r="AD27" i="5"/>
  <c r="N58" i="5"/>
  <c r="AD19" i="5"/>
  <c r="N39" i="5"/>
  <c r="N38" i="5"/>
  <c r="AD25" i="5"/>
  <c r="N42" i="5"/>
  <c r="N47" i="5"/>
  <c r="N46" i="5"/>
  <c r="AD24" i="5"/>
  <c r="M6" i="5"/>
  <c r="N62" i="5"/>
  <c r="N63" i="5"/>
  <c r="N65" i="5"/>
  <c r="N67" i="5"/>
  <c r="N66" i="5"/>
  <c r="N68" i="5"/>
  <c r="N69" i="5"/>
  <c r="M5" i="5"/>
  <c r="T63" i="5"/>
  <c r="T43" i="5"/>
  <c r="T42" i="5"/>
  <c r="T67" i="5"/>
  <c r="T66" i="5"/>
  <c r="T62" i="5"/>
  <c r="T69" i="5"/>
  <c r="R5" i="5"/>
  <c r="AD62" i="5"/>
  <c r="AD69" i="5"/>
  <c r="Y5" i="5"/>
  <c r="Y67" i="5"/>
  <c r="Y66" i="5"/>
  <c r="Y63" i="5"/>
  <c r="Y62" i="5"/>
  <c r="Y58" i="5"/>
  <c r="Y57" i="5"/>
  <c r="Y47" i="5"/>
  <c r="Y46" i="5"/>
  <c r="Y43" i="5"/>
  <c r="Y42" i="5"/>
  <c r="Y39" i="5"/>
  <c r="Y38" i="5"/>
  <c r="Y36" i="5"/>
  <c r="Y69" i="5"/>
  <c r="U5" i="5"/>
  <c r="Y55" i="5"/>
  <c r="U6" i="5"/>
  <c r="T58" i="5"/>
  <c r="T57" i="5"/>
  <c r="T39" i="5"/>
  <c r="T38" i="5"/>
  <c r="T47" i="5"/>
  <c r="T46" i="5"/>
  <c r="T36" i="5"/>
  <c r="T55" i="5"/>
  <c r="R6" i="5"/>
  <c r="H22" i="5"/>
  <c r="R30" i="5"/>
  <c r="R27" i="5"/>
  <c r="P27" i="5"/>
  <c r="N11" i="5"/>
  <c r="N12" i="5"/>
  <c r="N13" i="5"/>
  <c r="L13" i="5"/>
  <c r="L12" i="5"/>
  <c r="L11" i="5"/>
  <c r="H20" i="5"/>
  <c r="F20" i="5"/>
  <c r="D36" i="5"/>
  <c r="H21" i="5"/>
  <c r="H19" i="5"/>
  <c r="AH9" i="5"/>
  <c r="AH10" i="5"/>
  <c r="AH13" i="5"/>
  <c r="R20" i="5"/>
  <c r="R22" i="5"/>
  <c r="R26" i="5"/>
  <c r="R25" i="5"/>
  <c r="D70" i="5"/>
  <c r="D30" i="5"/>
  <c r="W13" i="5"/>
  <c r="Y68" i="5"/>
  <c r="AH18" i="5"/>
  <c r="T71" i="5"/>
  <c r="N36" i="5"/>
  <c r="AD52" i="5"/>
  <c r="Y52" i="5"/>
  <c r="T52" i="5"/>
  <c r="N52" i="5"/>
  <c r="N57" i="5"/>
  <c r="N55" i="5"/>
  <c r="AD50" i="5"/>
  <c r="Y50" i="5"/>
  <c r="T50" i="5"/>
  <c r="N50" i="5"/>
  <c r="N43" i="5"/>
  <c r="T65" i="5"/>
  <c r="T68" i="5"/>
  <c r="Y65" i="5"/>
  <c r="Y71" i="5"/>
  <c r="AD68" i="5"/>
  <c r="AD65" i="5"/>
  <c r="AH19" i="5"/>
  <c r="R15" i="5"/>
  <c r="F15" i="5"/>
  <c r="D67" i="5"/>
  <c r="D42" i="5"/>
  <c r="D59" i="5"/>
  <c r="D60" i="5"/>
  <c r="AD23" i="5"/>
</calcChain>
</file>

<file path=xl/sharedStrings.xml><?xml version="1.0" encoding="utf-8"?>
<sst xmlns="http://schemas.openxmlformats.org/spreadsheetml/2006/main" count="555" uniqueCount="263">
  <si>
    <t>LOA</t>
  </si>
  <si>
    <t>L</t>
  </si>
  <si>
    <t>LWL</t>
  </si>
  <si>
    <t>VBV</t>
  </si>
  <si>
    <t>RM1</t>
  </si>
  <si>
    <t>NO</t>
  </si>
  <si>
    <t>:</t>
  </si>
  <si>
    <t>BWL</t>
  </si>
  <si>
    <t>OV</t>
  </si>
  <si>
    <t>OA</t>
  </si>
  <si>
    <t>VBA</t>
  </si>
  <si>
    <t>TC</t>
  </si>
  <si>
    <t>TH</t>
  </si>
  <si>
    <t>D1</t>
  </si>
  <si>
    <t>D2</t>
  </si>
  <si>
    <t>LR</t>
  </si>
  <si>
    <t>LE</t>
  </si>
  <si>
    <t>FRV</t>
  </si>
  <si>
    <t>FRVL</t>
  </si>
  <si>
    <t>DC</t>
  </si>
  <si>
    <t>CW</t>
  </si>
  <si>
    <t>R</t>
  </si>
  <si>
    <t>FRVM</t>
  </si>
  <si>
    <t>DS</t>
  </si>
  <si>
    <t>CS</t>
  </si>
  <si>
    <t>FS</t>
  </si>
  <si>
    <t xml:space="preserve">Max. Afwijking gewicht = </t>
  </si>
  <si>
    <t>kg</t>
  </si>
  <si>
    <t>Grootzeil:</t>
  </si>
  <si>
    <t>Klauwhoek</t>
  </si>
  <si>
    <t>IZ</t>
  </si>
  <si>
    <t>J</t>
  </si>
  <si>
    <t>/</t>
  </si>
  <si>
    <t>min</t>
  </si>
  <si>
    <t>FZD</t>
  </si>
  <si>
    <t>ZD</t>
  </si>
  <si>
    <t>ZDS</t>
  </si>
  <si>
    <t>OZ</t>
  </si>
  <si>
    <t>PG</t>
  </si>
  <si>
    <t>FH</t>
  </si>
  <si>
    <t>TV</t>
  </si>
  <si>
    <t>D</t>
  </si>
  <si>
    <t>FG</t>
  </si>
  <si>
    <t>FGO</t>
  </si>
  <si>
    <t>MG</t>
  </si>
  <si>
    <t>RG</t>
  </si>
  <si>
    <t>AG</t>
  </si>
  <si>
    <t>FGH</t>
  </si>
  <si>
    <t>GDT</t>
  </si>
  <si>
    <t>GVL</t>
  </si>
  <si>
    <t>GAL</t>
  </si>
  <si>
    <t>GBL</t>
  </si>
  <si>
    <t>GOL</t>
  </si>
  <si>
    <t>GVLmin2</t>
  </si>
  <si>
    <t>KL</t>
  </si>
  <si>
    <t>GOZ</t>
  </si>
  <si>
    <t>FOL</t>
  </si>
  <si>
    <t>FVL</t>
  </si>
  <si>
    <t>FAL</t>
  </si>
  <si>
    <t>KVL</t>
  </si>
  <si>
    <t>KHL</t>
  </si>
  <si>
    <t>MV</t>
  </si>
  <si>
    <t>FV</t>
  </si>
  <si>
    <t>GPO</t>
  </si>
  <si>
    <t>GDK</t>
  </si>
  <si>
    <t>TP</t>
  </si>
  <si>
    <t>HOL</t>
  </si>
  <si>
    <t>HBH</t>
  </si>
  <si>
    <t>HVL</t>
  </si>
  <si>
    <t>RV</t>
  </si>
  <si>
    <t>AVV</t>
  </si>
  <si>
    <t>MK</t>
  </si>
  <si>
    <t>SLG</t>
  </si>
  <si>
    <t>SLGmin</t>
  </si>
  <si>
    <t>GZVmin</t>
  </si>
  <si>
    <t>SGmin</t>
  </si>
  <si>
    <t>FOZ</t>
  </si>
  <si>
    <t>MV+MK</t>
  </si>
  <si>
    <t>KLB</t>
  </si>
  <si>
    <t>MH</t>
  </si>
  <si>
    <t>FVO</t>
  </si>
  <si>
    <t>FALmin</t>
  </si>
  <si>
    <t>FVH</t>
  </si>
  <si>
    <t>PV</t>
  </si>
  <si>
    <t>FZV</t>
  </si>
  <si>
    <t>THS</t>
  </si>
  <si>
    <t>HA</t>
  </si>
  <si>
    <t>ZN</t>
  </si>
  <si>
    <t>ZNS</t>
  </si>
  <si>
    <t>FZN</t>
  </si>
  <si>
    <t>RVS</t>
  </si>
  <si>
    <t>FRVZ</t>
  </si>
  <si>
    <t>FZDL</t>
  </si>
  <si>
    <t>ZDSL</t>
  </si>
  <si>
    <t>FZVL</t>
  </si>
  <si>
    <t>FZNL</t>
  </si>
  <si>
    <t>ZNSL</t>
  </si>
  <si>
    <t>RVSL</t>
  </si>
  <si>
    <t>FZDM</t>
  </si>
  <si>
    <t>ZDSM</t>
  </si>
  <si>
    <t>FZVM</t>
  </si>
  <si>
    <t>THSM</t>
  </si>
  <si>
    <t>FZNM</t>
  </si>
  <si>
    <t>ZNSM</t>
  </si>
  <si>
    <t>RVSM</t>
  </si>
  <si>
    <t>RL</t>
  </si>
  <si>
    <t>ZDSZ</t>
  </si>
  <si>
    <t>FZDZ</t>
  </si>
  <si>
    <t>FZVZ</t>
  </si>
  <si>
    <t>THSZ</t>
  </si>
  <si>
    <t>FZNZ</t>
  </si>
  <si>
    <t>ZNSZ</t>
  </si>
  <si>
    <t>RVSZ</t>
  </si>
  <si>
    <t>RZ</t>
  </si>
  <si>
    <t>Max. Trim =0,10% LWL =</t>
  </si>
  <si>
    <t>SLG1</t>
  </si>
  <si>
    <t>GZV</t>
  </si>
  <si>
    <t>SG</t>
  </si>
  <si>
    <t>GM</t>
  </si>
  <si>
    <t>GVLmin1</t>
  </si>
  <si>
    <t>RM</t>
  </si>
  <si>
    <t>MGK</t>
  </si>
  <si>
    <t>MGT</t>
  </si>
  <si>
    <t>OBW</t>
  </si>
  <si>
    <t>2.4*(MV+MK)</t>
  </si>
  <si>
    <t>GPB</t>
  </si>
  <si>
    <t>mm</t>
  </si>
  <si>
    <t>TVF licht</t>
  </si>
  <si>
    <t>LEL</t>
  </si>
  <si>
    <t>THL</t>
  </si>
  <si>
    <t>TVF midden</t>
  </si>
  <si>
    <t>LEM</t>
  </si>
  <si>
    <t>THM</t>
  </si>
  <si>
    <t>THZ</t>
  </si>
  <si>
    <t>ZNL</t>
  </si>
  <si>
    <t>FHL</t>
  </si>
  <si>
    <t>FHM</t>
  </si>
  <si>
    <t>ZNM</t>
  </si>
  <si>
    <t>ZNZ</t>
  </si>
  <si>
    <t>FHZ</t>
  </si>
  <si>
    <t>OZZ</t>
  </si>
  <si>
    <t>OZM</t>
  </si>
  <si>
    <t>OZL</t>
  </si>
  <si>
    <t>RLzh</t>
  </si>
  <si>
    <t>RMzh</t>
  </si>
  <si>
    <t>RZzh</t>
  </si>
  <si>
    <t>Rzh</t>
  </si>
  <si>
    <t>LEZ</t>
  </si>
  <si>
    <t>ZDL</t>
  </si>
  <si>
    <t>THSL</t>
  </si>
  <si>
    <t>ZDM</t>
  </si>
  <si>
    <t>ZDZ</t>
  </si>
  <si>
    <t>TVF algemeen</t>
  </si>
  <si>
    <t>OZZz</t>
  </si>
  <si>
    <t>FHz</t>
  </si>
  <si>
    <t>FZDZ_z</t>
  </si>
  <si>
    <t>ZN_z</t>
  </si>
  <si>
    <t>ZD_z</t>
  </si>
  <si>
    <t>max</t>
  </si>
  <si>
    <t>HWB</t>
  </si>
  <si>
    <t>Invoergegevens romp, rondhout en schroef (maten in meters)</t>
  </si>
  <si>
    <t>Mast uit st.</t>
  </si>
  <si>
    <t>Invoer zeilafmetingen (maten in meters)</t>
  </si>
  <si>
    <t>Fok:</t>
  </si>
  <si>
    <t>Kluiver:</t>
  </si>
  <si>
    <t>Halfwinder:</t>
  </si>
  <si>
    <t>Ozz</t>
  </si>
  <si>
    <t>Broodwinner:</t>
  </si>
  <si>
    <t>TVF zwaar</t>
  </si>
  <si>
    <t>Berekende waarden:</t>
  </si>
  <si>
    <t>TVF licht zonder HW</t>
  </si>
  <si>
    <t>TVF midden zonder HW</t>
  </si>
  <si>
    <t>TVF zwaar zonder HW</t>
  </si>
  <si>
    <t>OZZm</t>
  </si>
  <si>
    <t>FHm</t>
  </si>
  <si>
    <t>OZZl</t>
  </si>
  <si>
    <t>FHl</t>
  </si>
  <si>
    <t>zwaar:</t>
  </si>
  <si>
    <t>middel:</t>
  </si>
  <si>
    <t>licht:</t>
  </si>
  <si>
    <t>algemeen:</t>
  </si>
  <si>
    <t>TVF algemeen z. HW</t>
  </si>
  <si>
    <t>TVF zonder:</t>
  </si>
  <si>
    <t>TVF met halfwinder:</t>
  </si>
  <si>
    <t>min:</t>
  </si>
  <si>
    <t>S</t>
  </si>
  <si>
    <t>-</t>
  </si>
  <si>
    <t xml:space="preserve">Auteur: </t>
  </si>
  <si>
    <t>Pieter Pluimers</t>
  </si>
  <si>
    <t>pieter_pluimers@hotmail.com</t>
  </si>
  <si>
    <t>Reken parameters</t>
  </si>
  <si>
    <t>Invoergegevens romp, rondhout en schroef</t>
  </si>
  <si>
    <t>Lengte Over Alles, de lengte van de romp over de stevens.</t>
  </si>
  <si>
    <t>Lengte, de lengte van de waterlijn over de stevens.</t>
  </si>
  <si>
    <t>Lengte Waterlijn, de lengte van de waterlijn zonder de stevens = LOA – OA - OV</t>
  </si>
  <si>
    <t>Lengte romp zonder stevens / berghouten, gemeten uit de snijpunten onderkant berghout en stevens.</t>
  </si>
  <si>
    <t>Oprichtend moment voor 1 graad helling in kgm.</t>
  </si>
  <si>
    <t>Vrijboord voor, gemeten tussen het wateropper-vlak en het snijpunt romp, voorsteven en onder-kant berghout. Het gemiddelde van stuurboord en bakboord.</t>
  </si>
  <si>
    <t>Vrijboord achter, gemeten tussen het wateroppervlak en het snijpunt romp, achtersteven en onderkant berghout. Het gemiddelde van stuurboord en bakboord.</t>
  </si>
  <si>
    <t>Overhang Voor, de horizontale afstand tussen het voorste meetpunt LOA en het voorste meetpunt LWL.</t>
  </si>
  <si>
    <t>Overhang Achter, de horizontale afstand tussen het achterste meetpunt LOA en het achterste meetpunt LWL.</t>
  </si>
  <si>
    <t>Breedte Waterlijn, gemeten op ⅓ LWL uit het vooreinde van de waterlijn (LWL).</t>
  </si>
  <si>
    <t>Diepgang voorschip, genomen van buitenkant huid tot het waterlijnvlak op ¼ BWL uit hartlijn en 1/3 LWL uit het vooreinde van de waterlijn (LWL).</t>
  </si>
  <si>
    <t>Diepgang achterschip, genomen van buitenkant huid tot het waterlijnvlak op ¼ BWL uit hartlijn en ⅔ LWL uit het vooreinde van de waterlijn (LWL).</t>
  </si>
  <si>
    <t>De grootste rompdiepgang, (zonder aanhangsels).</t>
  </si>
  <si>
    <t>Nat oppervlak, inclusief appendages.</t>
  </si>
  <si>
    <t>Factor waterverplaatsing.</t>
  </si>
  <si>
    <t>correctie schroef.</t>
  </si>
  <si>
    <t>diameter schroef.</t>
  </si>
  <si>
    <t>de afstand in dwarsscheepse projectie van het snijpunt van het voorstag met de voorkant van de mast tot het snijpunt van dek en huid dwars van de voorkant van de mast.</t>
  </si>
  <si>
    <t>de lengte van de loodlijn uit het snijpunt van het voorstag met de steven op de voorkant van de mast, waarbij uitgegaan wordt van de valling van de mastkoker (indien aanwezig). Het voorstag dient op de voorsteven aan te grijpen.</t>
  </si>
  <si>
    <t>de afstand van het snijpunt van het voorstag met de steven tot de pen van de schijf in het einde van de kluiverboom.</t>
  </si>
  <si>
    <t>Berekende waarden</t>
  </si>
  <si>
    <t>totaal gemeten zeiloppervlak</t>
  </si>
  <si>
    <t>totaal gecorrigeerd zeiloppervlak</t>
  </si>
  <si>
    <t>totaal oppervlak voordriehoek</t>
  </si>
  <si>
    <t>correctie factor fok aspectverhouding</t>
  </si>
  <si>
    <t>gemeten oppervlak fok</t>
  </si>
  <si>
    <t>oppervlak kluiver</t>
  </si>
  <si>
    <t>Rating algemeen</t>
  </si>
  <si>
    <t>(standaard) theoretische hellingshoek</t>
  </si>
  <si>
    <t>factor schroef</t>
  </si>
  <si>
    <t xml:space="preserve">Effectieve waterlijnlengte </t>
  </si>
  <si>
    <t>factor rompvorm algemeen</t>
  </si>
  <si>
    <t>factor rompvorm licht weer</t>
  </si>
  <si>
    <t>factor rompvorm midden weer</t>
  </si>
  <si>
    <t>FRMZ</t>
  </si>
  <si>
    <t>factor rompvorm zwaar weer</t>
  </si>
  <si>
    <t>Invoer zeilafmetingen Grootzeil</t>
  </si>
  <si>
    <t>Grootzeil Voorlijk Lengte, afstand tussen de meetpunten klauw- en halshoek.</t>
  </si>
  <si>
    <t>Grootzeil Achterlijk Lengte, afstand tussen de meetpunten top- en schoothoek.</t>
  </si>
  <si>
    <t>Grootzeil Onderlijk Lengte, afstand tussen de meetpunten schoot- en halshoek.</t>
  </si>
  <si>
    <t>Grootzeil Bovenlijk Lengte, afstand tussen de meetpunten top- en klauwhoek.</t>
  </si>
  <si>
    <t>Grootzeil Pijl Bovenlijk, peilronding boven de lijn GBL.</t>
  </si>
  <si>
    <t>Grootzeil Pijl Onderlijk, peilronding onder de lijn GOL.</t>
  </si>
  <si>
    <t>Grootzeil Diagonaal Top-hals, lengte van de diagonaal tussen de meetpunten top- en halshoek.</t>
  </si>
  <si>
    <t>Grootzeil Diagonaal Klauw-schot, lengte van de diagonaal tussen de meetpunten klauw- en schoothoek.</t>
  </si>
  <si>
    <t>gemeten oppervlak grootzeil.</t>
  </si>
  <si>
    <t>correctie factor grootzeil aspectverhouding.</t>
  </si>
  <si>
    <t>gecorrigeerde oppervlak grootzeil.</t>
  </si>
  <si>
    <t>Invoer zeilafmetingen Fok</t>
  </si>
  <si>
    <t>Fok Voorlijk Lengte, afstand tussen de meetpunten top- en halshoek.</t>
  </si>
  <si>
    <t>Fok Achterlijk Lengte, afstand tussen meetpunt achterzijde tophoek en meetpunt schoothoek.</t>
  </si>
  <si>
    <t>Fok Onderlijk Lengte, afstand tussen de meetpunten schoot- en halshoek.</t>
  </si>
  <si>
    <t>ToP, de breedte van de top tussen meetpunt tophoek en meetpunt achterzijde tophoek.</t>
  </si>
  <si>
    <t>Invoer zeilafmetingen Halfwinder</t>
  </si>
  <si>
    <t>Halfwinder Voorlijk Lengte, afstand tussen de meetpunten top- en halshoek gemeten langs de ronding van het zeil.</t>
  </si>
  <si>
    <t>Halfwinder Onderlijk Lengte, afstand tussen de meetpunten schoot- en halshoek.</t>
  </si>
  <si>
    <t>Halfwinder Breedte Halve hoogte, de breedte van de halfwinder tussen de meetpunten op halve hoogte.</t>
  </si>
  <si>
    <t>Oppervlak broodwinner (Aap).</t>
  </si>
  <si>
    <t>Invoer zeilafmetingen Kluiver</t>
  </si>
  <si>
    <t>Kluiver Voorlijk Lengte, afstand tussen meetpunten top- en halshoek.</t>
  </si>
  <si>
    <t>Kluiver Hoogtelijn Lengte, de lengte van de hoogtelijn uit meetpunt schoothoek op het voorlijk van de kluiver.</t>
  </si>
  <si>
    <t>TPK</t>
  </si>
  <si>
    <t>Top Kluiver, de breedte van de top tussen meetpunt tophoek en meetpunt achterzijde tophoek.</t>
  </si>
  <si>
    <r>
      <t>Berekende waterverplaatsing in water met een s.g. van 1,000 t/m</t>
    </r>
    <r>
      <rPr>
        <vertAlign val="superscript"/>
        <sz val="9"/>
        <rFont val="Arial"/>
        <family val="2"/>
      </rPr>
      <t>3</t>
    </r>
  </si>
  <si>
    <t xml:space="preserve">Dit rekenmodel is uitsluitend ter indicatie. Voor rekenfouten, programmeerfouten en invoerfouten kan geen aanspraak worden gemaakt op de auteur van dit rekenmodel. Ten alle tijden is de meetbrief uitgegeven door het Watersportverbond en gepubliceerd op de website van het Watersportverbond leidend. </t>
  </si>
  <si>
    <t>Rekenmodel TVF 2018</t>
  </si>
  <si>
    <t>FRV x FOW x TF</t>
  </si>
  <si>
    <t>FRVL x FOWL x TFL</t>
  </si>
  <si>
    <t>FRVM x FOWM x TFM</t>
  </si>
  <si>
    <t>FRVZ x FOWZ x TFZ</t>
  </si>
  <si>
    <t>TFC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</si>
</sst>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0.0"/>
  </numFmts>
  <fonts count="31"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b/>
      <sz val="14"/>
      <color theme="1"/>
      <name val="Calibri"/>
      <scheme val="minor"/>
    </font>
    <font>
      <sz val="14"/>
      <color theme="1"/>
      <name val="Calibri"/>
      <scheme val="minor"/>
    </font>
    <font>
      <sz val="12"/>
      <color theme="0"/>
      <name val="Calibri"/>
      <family val="2"/>
      <scheme val="minor"/>
    </font>
    <font>
      <sz val="10"/>
      <color theme="1"/>
      <name val="Calibri"/>
      <scheme val="minor"/>
    </font>
    <font>
      <sz val="12"/>
      <color rgb="FFFF0000"/>
      <name val="Calibri"/>
      <family val="2"/>
      <scheme val="minor"/>
    </font>
    <font>
      <sz val="12"/>
      <name val="Calibri"/>
      <scheme val="minor"/>
    </font>
    <font>
      <sz val="12"/>
      <color rgb="FF008000"/>
      <name val="Calibri"/>
      <scheme val="minor"/>
    </font>
    <font>
      <b/>
      <sz val="12"/>
      <name val="Calibri"/>
      <scheme val="minor"/>
    </font>
    <font>
      <b/>
      <sz val="14"/>
      <color theme="0"/>
      <name val="Calibri"/>
      <scheme val="minor"/>
    </font>
    <font>
      <b/>
      <sz val="12"/>
      <color rgb="FF000000"/>
      <name val="Calibri"/>
      <scheme val="minor"/>
    </font>
    <font>
      <i/>
      <sz val="12"/>
      <color theme="1"/>
      <name val="Calibri"/>
      <scheme val="minor"/>
    </font>
    <font>
      <b/>
      <sz val="11"/>
      <color theme="0"/>
      <name val="Calibri"/>
      <family val="2"/>
      <scheme val="minor"/>
    </font>
    <font>
      <sz val="12"/>
      <name val="Calibri"/>
      <family val="2"/>
      <scheme val="minor"/>
    </font>
    <font>
      <b/>
      <sz val="10"/>
      <color theme="0"/>
      <name val="Calibri"/>
      <family val="2"/>
      <scheme val="minor"/>
    </font>
    <font>
      <sz val="10"/>
      <color theme="1"/>
      <name val="Calibri"/>
      <family val="2"/>
      <scheme val="minor"/>
    </font>
    <font>
      <sz val="14"/>
      <color theme="1"/>
      <name val="Calibri"/>
      <family val="2"/>
      <scheme val="minor"/>
    </font>
    <font>
      <b/>
      <sz val="14"/>
      <name val="Calibri"/>
      <family val="2"/>
      <scheme val="minor"/>
    </font>
    <font>
      <b/>
      <sz val="12"/>
      <name val="Calibri"/>
      <family val="2"/>
      <scheme val="minor"/>
    </font>
    <font>
      <b/>
      <sz val="18"/>
      <color theme="1"/>
      <name val="Calibri"/>
      <family val="2"/>
      <scheme val="minor"/>
    </font>
    <font>
      <b/>
      <sz val="12"/>
      <color rgb="FF000000"/>
      <name val="Calibri"/>
      <family val="2"/>
      <scheme val="minor"/>
    </font>
    <font>
      <u/>
      <sz val="10"/>
      <color theme="10"/>
      <name val="Calibri"/>
      <family val="2"/>
      <scheme val="minor"/>
    </font>
    <font>
      <sz val="9"/>
      <name val="Arial"/>
      <family val="2"/>
    </font>
    <font>
      <vertAlign val="superscript"/>
      <sz val="9"/>
      <name val="Arial"/>
      <family val="2"/>
    </font>
    <font>
      <sz val="12"/>
      <name val="Cambria"/>
      <family val="1"/>
    </font>
    <font>
      <b/>
      <u/>
      <sz val="9"/>
      <name val="Arial"/>
      <family val="2"/>
    </font>
    <font>
      <i/>
      <sz val="12"/>
      <color theme="0"/>
      <name val="Calibri"/>
      <scheme val="minor"/>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99"/>
        <bgColor indexed="64"/>
      </patternFill>
    </fill>
  </fills>
  <borders count="9">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s>
  <cellStyleXfs count="46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164">
    <xf numFmtId="0" fontId="0" fillId="0" borderId="0" xfId="0"/>
    <xf numFmtId="0" fontId="20" fillId="0" borderId="0" xfId="0" applyFont="1" applyProtection="1"/>
    <xf numFmtId="0" fontId="20" fillId="0" borderId="0" xfId="0" applyFont="1" applyFill="1" applyProtection="1"/>
    <xf numFmtId="0" fontId="0" fillId="0" borderId="0" xfId="0" applyProtection="1"/>
    <xf numFmtId="0" fontId="0" fillId="0" borderId="0" xfId="0" applyFont="1" applyProtection="1"/>
    <xf numFmtId="0" fontId="0" fillId="0" borderId="0" xfId="0" applyFill="1" applyProtection="1"/>
    <xf numFmtId="0" fontId="22" fillId="0" borderId="0" xfId="0" applyFont="1" applyFill="1" applyBorder="1" applyAlignment="1" applyProtection="1">
      <alignment horizontal="left"/>
    </xf>
    <xf numFmtId="0" fontId="17" fillId="0" borderId="0" xfId="0" applyFont="1" applyFill="1" applyBorder="1" applyProtection="1"/>
    <xf numFmtId="0" fontId="5" fillId="0" borderId="3" xfId="0" applyFont="1" applyFill="1" applyBorder="1" applyAlignment="1" applyProtection="1"/>
    <xf numFmtId="164" fontId="6" fillId="0" borderId="3" xfId="0" applyNumberFormat="1" applyFont="1" applyFill="1" applyBorder="1" applyAlignment="1" applyProtection="1"/>
    <xf numFmtId="164" fontId="5" fillId="0" borderId="3" xfId="0" applyNumberFormat="1" applyFont="1" applyFill="1" applyBorder="1" applyAlignment="1" applyProtection="1"/>
    <xf numFmtId="0" fontId="0" fillId="0" borderId="3" xfId="0" applyFill="1" applyBorder="1" applyProtection="1"/>
    <xf numFmtId="0" fontId="0" fillId="0" borderId="3" xfId="0" applyFill="1" applyBorder="1" applyAlignment="1" applyProtection="1"/>
    <xf numFmtId="0" fontId="9" fillId="0" borderId="3" xfId="0" applyFont="1" applyFill="1" applyBorder="1" applyAlignment="1" applyProtection="1"/>
    <xf numFmtId="0" fontId="9" fillId="0" borderId="3" xfId="0" applyFont="1" applyFill="1" applyBorder="1" applyProtection="1"/>
    <xf numFmtId="0" fontId="9" fillId="0" borderId="0" xfId="0" applyFont="1" applyFill="1" applyBorder="1" applyProtection="1"/>
    <xf numFmtId="0" fontId="1" fillId="0" borderId="0" xfId="0" applyFont="1" applyFill="1" applyBorder="1" applyProtection="1"/>
    <xf numFmtId="0" fontId="0" fillId="0" borderId="0" xfId="0" applyFill="1" applyBorder="1" applyProtection="1"/>
    <xf numFmtId="0" fontId="0" fillId="0" borderId="0" xfId="0" applyFont="1" applyFill="1" applyBorder="1" applyProtection="1"/>
    <xf numFmtId="0" fontId="0" fillId="0" borderId="0" xfId="0" applyFill="1" applyAlignment="1" applyProtection="1"/>
    <xf numFmtId="0" fontId="10" fillId="0" borderId="0" xfId="0" applyFont="1" applyFill="1" applyBorder="1" applyAlignment="1" applyProtection="1"/>
    <xf numFmtId="0" fontId="0" fillId="0" borderId="0" xfId="0" applyFill="1" applyBorder="1" applyAlignment="1" applyProtection="1">
      <alignment horizontal="right"/>
    </xf>
    <xf numFmtId="0" fontId="0" fillId="0" borderId="0" xfId="0" applyFill="1" applyBorder="1" applyAlignment="1" applyProtection="1">
      <alignment horizontal="left"/>
    </xf>
    <xf numFmtId="0" fontId="0" fillId="0" borderId="0" xfId="0" applyFill="1" applyAlignment="1" applyProtection="1">
      <alignment horizontal="right"/>
    </xf>
    <xf numFmtId="2" fontId="17" fillId="0" borderId="0" xfId="0" applyNumberFormat="1" applyFont="1" applyFill="1" applyBorder="1" applyAlignment="1" applyProtection="1">
      <alignment horizontal="left"/>
    </xf>
    <xf numFmtId="0" fontId="0" fillId="0" borderId="0" xfId="0" applyFill="1" applyBorder="1" applyAlignment="1" applyProtection="1"/>
    <xf numFmtId="0" fontId="15" fillId="0" borderId="0" xfId="0" applyFont="1" applyFill="1" applyBorder="1" applyAlignment="1" applyProtection="1">
      <alignment horizontal="right"/>
    </xf>
    <xf numFmtId="0" fontId="15" fillId="0" borderId="0" xfId="0" applyFont="1" applyFill="1" applyBorder="1" applyAlignment="1" applyProtection="1">
      <alignment horizontal="left"/>
    </xf>
    <xf numFmtId="0" fontId="15" fillId="0" borderId="0" xfId="0" applyFont="1" applyFill="1" applyBorder="1" applyAlignment="1" applyProtection="1">
      <alignment horizontal="center"/>
    </xf>
    <xf numFmtId="0" fontId="4" fillId="0" borderId="0" xfId="0" applyFont="1" applyFill="1" applyBorder="1" applyProtection="1"/>
    <xf numFmtId="2" fontId="0" fillId="0" borderId="0" xfId="0" applyNumberFormat="1" applyFill="1" applyBorder="1" applyAlignment="1" applyProtection="1">
      <alignment horizontal="right"/>
    </xf>
    <xf numFmtId="0" fontId="0" fillId="0" borderId="0" xfId="0" applyAlignment="1" applyProtection="1">
      <alignment horizontal="right"/>
    </xf>
    <xf numFmtId="2" fontId="0" fillId="0" borderId="0" xfId="0" applyNumberFormat="1" applyFill="1" applyBorder="1" applyAlignment="1" applyProtection="1">
      <alignment horizontal="left"/>
    </xf>
    <xf numFmtId="2" fontId="0" fillId="0" borderId="0" xfId="0" applyNumberFormat="1" applyFont="1" applyFill="1" applyBorder="1" applyAlignment="1" applyProtection="1">
      <alignment horizontal="right"/>
    </xf>
    <xf numFmtId="2" fontId="0" fillId="0" borderId="0" xfId="0" applyNumberFormat="1" applyFill="1" applyBorder="1" applyAlignment="1" applyProtection="1">
      <alignment horizontal="center"/>
    </xf>
    <xf numFmtId="0" fontId="0" fillId="0" borderId="0" xfId="0" applyFill="1" applyAlignment="1" applyProtection="1">
      <alignment horizontal="left"/>
    </xf>
    <xf numFmtId="0" fontId="4" fillId="0" borderId="0" xfId="0" applyFont="1" applyFill="1" applyBorder="1" applyAlignment="1" applyProtection="1">
      <alignment horizontal="right"/>
    </xf>
    <xf numFmtId="0" fontId="4" fillId="0" borderId="0" xfId="0" applyFont="1" applyFill="1" applyBorder="1" applyAlignment="1" applyProtection="1"/>
    <xf numFmtId="0" fontId="0" fillId="0" borderId="0" xfId="0" applyBorder="1" applyProtection="1"/>
    <xf numFmtId="0" fontId="0" fillId="0" borderId="3" xfId="0" applyFill="1" applyBorder="1" applyAlignment="1" applyProtection="1">
      <alignment vertical="top"/>
    </xf>
    <xf numFmtId="0" fontId="0" fillId="0" borderId="3" xfId="0" applyBorder="1" applyAlignment="1" applyProtection="1">
      <alignment vertical="top"/>
    </xf>
    <xf numFmtId="0" fontId="0" fillId="0" borderId="3" xfId="0" applyBorder="1" applyProtection="1"/>
    <xf numFmtId="1" fontId="0" fillId="0" borderId="3" xfId="0" applyNumberFormat="1" applyFill="1" applyBorder="1" applyAlignment="1" applyProtection="1">
      <alignment vertical="top"/>
    </xf>
    <xf numFmtId="0" fontId="0" fillId="0" borderId="3" xfId="0" applyFill="1" applyBorder="1" applyAlignment="1" applyProtection="1">
      <alignment horizontal="left"/>
    </xf>
    <xf numFmtId="0" fontId="0" fillId="0" borderId="0" xfId="0" applyFont="1" applyFill="1" applyBorder="1" applyAlignment="1" applyProtection="1">
      <alignment horizontal="right"/>
    </xf>
    <xf numFmtId="165" fontId="4" fillId="0" borderId="0" xfId="0" applyNumberFormat="1" applyFont="1" applyFill="1" applyBorder="1" applyAlignment="1" applyProtection="1"/>
    <xf numFmtId="0" fontId="0" fillId="0" borderId="0" xfId="0" applyFont="1" applyFill="1" applyBorder="1" applyAlignment="1" applyProtection="1">
      <alignment horizontal="left"/>
    </xf>
    <xf numFmtId="0" fontId="0" fillId="0" borderId="4" xfId="0" applyFill="1" applyBorder="1" applyProtection="1"/>
    <xf numFmtId="0" fontId="14" fillId="0" borderId="0" xfId="0" applyFont="1" applyFill="1" applyBorder="1" applyProtection="1"/>
    <xf numFmtId="0" fontId="1" fillId="0" borderId="0" xfId="0" applyFont="1" applyFill="1" applyBorder="1" applyAlignment="1" applyProtection="1">
      <alignment horizontal="left"/>
    </xf>
    <xf numFmtId="2" fontId="0" fillId="0" borderId="0" xfId="0" applyNumberFormat="1" applyFill="1" applyBorder="1" applyProtection="1"/>
    <xf numFmtId="0" fontId="1" fillId="0" borderId="0" xfId="0" applyFont="1" applyFill="1" applyBorder="1" applyAlignment="1" applyProtection="1"/>
    <xf numFmtId="0" fontId="0" fillId="0" borderId="0" xfId="0" quotePrefix="1" applyFill="1" applyBorder="1" applyAlignment="1" applyProtection="1">
      <alignment horizontal="right"/>
    </xf>
    <xf numFmtId="2" fontId="4" fillId="0" borderId="0" xfId="0" applyNumberFormat="1" applyFont="1" applyFill="1" applyBorder="1" applyAlignment="1" applyProtection="1">
      <alignment horizontal="left"/>
    </xf>
    <xf numFmtId="0" fontId="0" fillId="0" borderId="4" xfId="0" applyBorder="1" applyProtection="1"/>
    <xf numFmtId="0" fontId="10" fillId="0" borderId="0" xfId="0" applyFont="1" applyBorder="1" applyProtection="1"/>
    <xf numFmtId="2" fontId="10" fillId="0" borderId="0" xfId="0" applyNumberFormat="1" applyFont="1" applyFill="1" applyBorder="1" applyAlignment="1" applyProtection="1"/>
    <xf numFmtId="0" fontId="4" fillId="0" borderId="0" xfId="0" applyFont="1" applyFill="1" applyBorder="1" applyAlignment="1" applyProtection="1">
      <alignment horizontal="left"/>
    </xf>
    <xf numFmtId="0" fontId="7" fillId="0" borderId="0" xfId="0" applyFont="1" applyFill="1" applyBorder="1" applyAlignment="1" applyProtection="1"/>
    <xf numFmtId="165" fontId="0" fillId="0" borderId="0" xfId="0" applyNumberFormat="1" applyFill="1" applyBorder="1" applyAlignment="1" applyProtection="1">
      <alignment horizontal="right"/>
    </xf>
    <xf numFmtId="0" fontId="1" fillId="0" borderId="0" xfId="0" applyFont="1" applyProtection="1"/>
    <xf numFmtId="165" fontId="10" fillId="0" borderId="0" xfId="0" applyNumberFormat="1" applyFont="1" applyFill="1" applyBorder="1" applyProtection="1"/>
    <xf numFmtId="0" fontId="0" fillId="0" borderId="0" xfId="0" applyFont="1" applyBorder="1" applyProtection="1"/>
    <xf numFmtId="0" fontId="0" fillId="0" borderId="0" xfId="0" applyFont="1" applyFill="1" applyBorder="1" applyAlignment="1" applyProtection="1"/>
    <xf numFmtId="165" fontId="0" fillId="0" borderId="0" xfId="0" applyNumberFormat="1" applyFont="1" applyFill="1" applyBorder="1" applyAlignment="1" applyProtection="1"/>
    <xf numFmtId="0" fontId="10" fillId="0" borderId="0" xfId="0" applyFont="1" applyFill="1" applyBorder="1" applyAlignment="1" applyProtection="1">
      <alignment horizontal="left"/>
    </xf>
    <xf numFmtId="164" fontId="12" fillId="0" borderId="0" xfId="0" applyNumberFormat="1" applyFont="1" applyFill="1" applyBorder="1" applyAlignment="1" applyProtection="1"/>
    <xf numFmtId="164" fontId="1" fillId="0" borderId="0" xfId="0" applyNumberFormat="1" applyFont="1" applyFill="1" applyBorder="1" applyProtection="1"/>
    <xf numFmtId="0" fontId="0" fillId="0" borderId="0" xfId="0" applyFont="1" applyFill="1" applyProtection="1"/>
    <xf numFmtId="0" fontId="0" fillId="0" borderId="4" xfId="0" applyFont="1" applyFill="1" applyBorder="1" applyAlignment="1" applyProtection="1"/>
    <xf numFmtId="2" fontId="0" fillId="0" borderId="0" xfId="0" applyNumberFormat="1" applyFill="1" applyBorder="1" applyAlignment="1" applyProtection="1"/>
    <xf numFmtId="0" fontId="0" fillId="0" borderId="0" xfId="0" applyFill="1" applyBorder="1" applyAlignment="1" applyProtection="1">
      <alignment vertical="top"/>
    </xf>
    <xf numFmtId="0" fontId="0" fillId="0" borderId="0" xfId="0" applyFont="1" applyFill="1" applyBorder="1" applyAlignment="1" applyProtection="1">
      <alignment vertical="top"/>
    </xf>
    <xf numFmtId="0" fontId="1" fillId="0" borderId="3" xfId="0" applyFont="1" applyFill="1" applyBorder="1" applyAlignment="1" applyProtection="1"/>
    <xf numFmtId="0" fontId="4" fillId="0" borderId="3" xfId="0" applyFont="1" applyFill="1" applyBorder="1" applyProtection="1"/>
    <xf numFmtId="164" fontId="1" fillId="0" borderId="3" xfId="0" applyNumberFormat="1" applyFont="1" applyFill="1" applyBorder="1" applyAlignment="1" applyProtection="1">
      <alignment horizontal="right"/>
    </xf>
    <xf numFmtId="0" fontId="7" fillId="0" borderId="3" xfId="0" applyFont="1" applyFill="1" applyBorder="1" applyAlignment="1" applyProtection="1"/>
    <xf numFmtId="164" fontId="1" fillId="0" borderId="0" xfId="0" applyNumberFormat="1" applyFont="1" applyFill="1" applyBorder="1" applyAlignment="1" applyProtection="1">
      <alignment horizontal="right"/>
    </xf>
    <xf numFmtId="0" fontId="0" fillId="0" borderId="0" xfId="0" applyAlignment="1" applyProtection="1"/>
    <xf numFmtId="165" fontId="0" fillId="0" borderId="0" xfId="0" applyNumberFormat="1" applyProtection="1"/>
    <xf numFmtId="0" fontId="13" fillId="0" borderId="0" xfId="0" applyFont="1" applyFill="1" applyBorder="1" applyAlignment="1" applyProtection="1">
      <alignment horizontal="center"/>
    </xf>
    <xf numFmtId="0" fontId="13" fillId="0" borderId="0" xfId="0" applyFont="1" applyFill="1" applyBorder="1" applyAlignment="1" applyProtection="1"/>
    <xf numFmtId="165" fontId="0" fillId="0" borderId="0" xfId="0" applyNumberFormat="1" applyFill="1" applyBorder="1" applyProtection="1"/>
    <xf numFmtId="165" fontId="24" fillId="0" borderId="0" xfId="0" applyNumberFormat="1" applyFont="1" applyFill="1" applyBorder="1" applyAlignment="1" applyProtection="1"/>
    <xf numFmtId="164" fontId="1" fillId="0" borderId="0" xfId="0" applyNumberFormat="1" applyFont="1" applyFill="1" applyBorder="1" applyAlignment="1" applyProtection="1"/>
    <xf numFmtId="164" fontId="0" fillId="0" borderId="0" xfId="0" applyNumberFormat="1" applyFill="1" applyBorder="1" applyProtection="1"/>
    <xf numFmtId="0" fontId="15" fillId="0" borderId="0" xfId="0" applyFont="1" applyFill="1" applyBorder="1" applyProtection="1"/>
    <xf numFmtId="164" fontId="0" fillId="0" borderId="0" xfId="0" applyNumberFormat="1" applyFill="1" applyBorder="1" applyAlignment="1" applyProtection="1">
      <alignment horizontal="right"/>
    </xf>
    <xf numFmtId="164" fontId="0" fillId="0" borderId="0" xfId="0" applyNumberFormat="1" applyFill="1" applyBorder="1" applyAlignment="1" applyProtection="1"/>
    <xf numFmtId="0" fontId="0" fillId="0" borderId="0" xfId="0" applyBorder="1" applyAlignment="1" applyProtection="1">
      <alignment vertical="center"/>
    </xf>
    <xf numFmtId="0" fontId="12" fillId="0" borderId="0" xfId="0" applyFont="1" applyFill="1" applyBorder="1" applyProtection="1"/>
    <xf numFmtId="164" fontId="22" fillId="0" borderId="0" xfId="0" applyNumberFormat="1" applyFont="1" applyFill="1" applyBorder="1" applyAlignment="1" applyProtection="1"/>
    <xf numFmtId="164" fontId="12" fillId="0" borderId="0" xfId="0" applyNumberFormat="1" applyFont="1" applyFill="1" applyBorder="1" applyProtection="1"/>
    <xf numFmtId="164" fontId="10" fillId="0" borderId="0" xfId="0" applyNumberFormat="1" applyFont="1" applyFill="1" applyBorder="1" applyAlignment="1" applyProtection="1"/>
    <xf numFmtId="0" fontId="0" fillId="2" borderId="0" xfId="0" applyFill="1" applyProtection="1"/>
    <xf numFmtId="166" fontId="0" fillId="0" borderId="0" xfId="0" applyNumberFormat="1" applyFill="1" applyBorder="1" applyProtection="1"/>
    <xf numFmtId="165" fontId="0" fillId="0" borderId="0" xfId="0" applyNumberFormat="1" applyFill="1" applyBorder="1" applyAlignment="1" applyProtection="1"/>
    <xf numFmtId="0" fontId="1" fillId="0" borderId="0" xfId="0" applyFont="1" applyFill="1" applyProtection="1"/>
    <xf numFmtId="164" fontId="1" fillId="0" borderId="0" xfId="0" applyNumberFormat="1" applyFont="1" applyFill="1" applyProtection="1"/>
    <xf numFmtId="0" fontId="1" fillId="0" borderId="0" xfId="0" applyFont="1" applyFill="1" applyBorder="1" applyAlignment="1" applyProtection="1">
      <alignment vertical="center"/>
    </xf>
    <xf numFmtId="164" fontId="0" fillId="0" borderId="0" xfId="0" applyNumberFormat="1" applyFill="1" applyProtection="1"/>
    <xf numFmtId="0" fontId="11" fillId="0" borderId="0" xfId="0" applyFont="1" applyAlignment="1" applyProtection="1">
      <alignment horizontal="left"/>
    </xf>
    <xf numFmtId="0" fontId="10" fillId="0" borderId="0" xfId="0" applyFont="1" applyAlignment="1" applyProtection="1">
      <alignment horizontal="left"/>
    </xf>
    <xf numFmtId="0" fontId="9" fillId="0" borderId="0" xfId="0" applyFont="1" applyProtection="1"/>
    <xf numFmtId="0" fontId="7" fillId="0" borderId="0" xfId="0" applyFont="1" applyFill="1" applyBorder="1" applyProtection="1"/>
    <xf numFmtId="0" fontId="10" fillId="0" borderId="0" xfId="0" applyFont="1" applyFill="1" applyBorder="1" applyProtection="1"/>
    <xf numFmtId="0" fontId="18" fillId="3" borderId="1" xfId="0" applyFont="1" applyFill="1" applyBorder="1" applyAlignment="1" applyProtection="1"/>
    <xf numFmtId="0" fontId="13" fillId="3" borderId="1" xfId="0" applyFont="1" applyFill="1" applyBorder="1" applyAlignment="1" applyProtection="1"/>
    <xf numFmtId="0" fontId="13" fillId="0" borderId="1" xfId="0" applyFont="1" applyFill="1" applyBorder="1" applyAlignment="1" applyProtection="1"/>
    <xf numFmtId="0" fontId="8" fillId="0" borderId="0" xfId="0" applyFont="1" applyFill="1" applyBorder="1" applyProtection="1"/>
    <xf numFmtId="0" fontId="12" fillId="0" borderId="0" xfId="0" applyFont="1" applyFill="1" applyBorder="1" applyAlignment="1" applyProtection="1">
      <alignment horizontal="left"/>
    </xf>
    <xf numFmtId="0" fontId="10" fillId="0" borderId="0" xfId="0" applyFont="1" applyFill="1" applyBorder="1" applyAlignment="1" applyProtection="1">
      <alignment horizontal="right"/>
    </xf>
    <xf numFmtId="165" fontId="0" fillId="4" borderId="2" xfId="0" applyNumberFormat="1" applyFill="1" applyBorder="1" applyAlignment="1" applyProtection="1">
      <alignment horizontal="right"/>
      <protection locked="0"/>
    </xf>
    <xf numFmtId="0" fontId="0" fillId="4" borderId="2" xfId="0" applyFill="1" applyBorder="1" applyAlignment="1" applyProtection="1">
      <alignment horizontal="right"/>
      <protection locked="0"/>
    </xf>
    <xf numFmtId="165" fontId="4" fillId="4" borderId="2" xfId="0" applyNumberFormat="1" applyFont="1" applyFill="1" applyBorder="1" applyAlignment="1" applyProtection="1">
      <protection locked="0"/>
    </xf>
    <xf numFmtId="2" fontId="0" fillId="4" borderId="2" xfId="0" applyNumberFormat="1" applyFill="1" applyBorder="1" applyAlignment="1" applyProtection="1">
      <alignment horizontal="right"/>
      <protection locked="0"/>
    </xf>
    <xf numFmtId="2" fontId="4" fillId="4" borderId="2" xfId="0" applyNumberFormat="1" applyFont="1" applyFill="1" applyBorder="1" applyAlignment="1" applyProtection="1">
      <protection locked="0"/>
    </xf>
    <xf numFmtId="165" fontId="0" fillId="4" borderId="2" xfId="0" applyNumberFormat="1" applyFill="1" applyBorder="1" applyAlignment="1" applyProtection="1">
      <protection locked="0"/>
    </xf>
    <xf numFmtId="0" fontId="0" fillId="4" borderId="2" xfId="0" applyFill="1" applyBorder="1" applyAlignment="1" applyProtection="1">
      <protection locked="0"/>
    </xf>
    <xf numFmtId="2" fontId="10" fillId="4" borderId="2" xfId="0" applyNumberFormat="1" applyFont="1" applyFill="1" applyBorder="1" applyAlignment="1" applyProtection="1">
      <alignment horizontal="right"/>
      <protection locked="0"/>
    </xf>
    <xf numFmtId="0" fontId="4" fillId="4" borderId="2" xfId="0" applyFont="1" applyFill="1" applyBorder="1" applyAlignment="1" applyProtection="1">
      <alignment horizontal="right"/>
      <protection locked="0"/>
    </xf>
    <xf numFmtId="2" fontId="0" fillId="4" borderId="2" xfId="0" applyNumberFormat="1" applyFill="1" applyBorder="1" applyAlignment="1" applyProtection="1">
      <alignment horizontal="left"/>
      <protection locked="0"/>
    </xf>
    <xf numFmtId="2" fontId="4" fillId="4" borderId="2" xfId="0" applyNumberFormat="1" applyFont="1" applyFill="1" applyBorder="1" applyAlignment="1" applyProtection="1">
      <alignment horizontal="left"/>
      <protection locked="0"/>
    </xf>
    <xf numFmtId="0" fontId="0" fillId="4" borderId="2" xfId="0" applyFill="1" applyBorder="1" applyAlignment="1" applyProtection="1">
      <alignment horizontal="left"/>
      <protection locked="0"/>
    </xf>
    <xf numFmtId="0" fontId="4" fillId="4" borderId="2" xfId="0" applyFont="1" applyFill="1" applyBorder="1" applyAlignment="1" applyProtection="1">
      <alignment horizontal="left"/>
      <protection locked="0"/>
    </xf>
    <xf numFmtId="164" fontId="4" fillId="4" borderId="2" xfId="0" applyNumberFormat="1" applyFont="1" applyFill="1" applyBorder="1" applyAlignment="1" applyProtection="1">
      <alignment horizontal="right"/>
      <protection locked="0"/>
    </xf>
    <xf numFmtId="0" fontId="15" fillId="0" borderId="3" xfId="0" applyFont="1" applyFill="1" applyBorder="1" applyProtection="1"/>
    <xf numFmtId="0" fontId="0" fillId="0" borderId="3" xfId="0" applyFont="1" applyFill="1" applyBorder="1" applyProtection="1"/>
    <xf numFmtId="0" fontId="0" fillId="0" borderId="3" xfId="0" applyFont="1" applyBorder="1" applyProtection="1"/>
    <xf numFmtId="2" fontId="10" fillId="0" borderId="3" xfId="0" applyNumberFormat="1" applyFont="1" applyFill="1" applyBorder="1" applyAlignment="1" applyProtection="1"/>
    <xf numFmtId="0" fontId="25" fillId="0" borderId="0" xfId="465" applyFont="1" applyAlignment="1" applyProtection="1">
      <alignment vertical="top"/>
    </xf>
    <xf numFmtId="0" fontId="0" fillId="0" borderId="0" xfId="0" applyAlignment="1" applyProtection="1">
      <alignment vertical="top"/>
    </xf>
    <xf numFmtId="0" fontId="0" fillId="0" borderId="0" xfId="0" applyFont="1" applyAlignment="1" applyProtection="1">
      <alignment vertical="top"/>
    </xf>
    <xf numFmtId="0" fontId="0" fillId="0" borderId="0" xfId="0" applyFill="1" applyAlignment="1" applyProtection="1">
      <alignment vertical="top"/>
    </xf>
    <xf numFmtId="0" fontId="0" fillId="0" borderId="0" xfId="0" applyFont="1" applyAlignment="1" applyProtection="1"/>
    <xf numFmtId="0" fontId="19" fillId="0" borderId="0" xfId="0" applyFont="1" applyAlignment="1" applyProtection="1"/>
    <xf numFmtId="0" fontId="20" fillId="0" borderId="0" xfId="0" applyFont="1" applyAlignment="1" applyProtection="1"/>
    <xf numFmtId="2" fontId="4" fillId="0" borderId="0" xfId="0" applyNumberFormat="1" applyFont="1" applyFill="1" applyBorder="1" applyAlignment="1" applyProtection="1"/>
    <xf numFmtId="0" fontId="17" fillId="0" borderId="0" xfId="0" applyFont="1"/>
    <xf numFmtId="0" fontId="26" fillId="0" borderId="0" xfId="0" applyFont="1" applyAlignment="1">
      <alignment vertical="center" wrapText="1"/>
    </xf>
    <xf numFmtId="0" fontId="28" fillId="0" borderId="0" xfId="0" applyFont="1" applyAlignment="1">
      <alignment vertical="center"/>
    </xf>
    <xf numFmtId="0" fontId="26" fillId="0" borderId="0" xfId="0" applyFont="1" applyAlignment="1">
      <alignment horizontal="left" vertical="center"/>
    </xf>
    <xf numFmtId="0" fontId="26" fillId="0" borderId="0" xfId="0" applyFont="1" applyAlignment="1">
      <alignment vertical="center"/>
    </xf>
    <xf numFmtId="0" fontId="30" fillId="0" borderId="0" xfId="0" applyFont="1" applyFill="1" applyBorder="1" applyAlignment="1" applyProtection="1"/>
    <xf numFmtId="0" fontId="15" fillId="0" borderId="0" xfId="0" applyFont="1" applyFill="1" applyProtection="1"/>
    <xf numFmtId="0" fontId="15" fillId="0" borderId="0" xfId="0" applyFont="1" applyFill="1" applyAlignment="1" applyProtection="1">
      <alignment horizontal="right"/>
    </xf>
    <xf numFmtId="0" fontId="15" fillId="0" borderId="0" xfId="0" applyFont="1" applyAlignment="1" applyProtection="1">
      <alignment horizontal="right"/>
    </xf>
    <xf numFmtId="0" fontId="15" fillId="0" borderId="3" xfId="0" applyFont="1" applyFill="1" applyBorder="1" applyAlignment="1" applyProtection="1">
      <alignment vertical="top"/>
    </xf>
    <xf numFmtId="0" fontId="23" fillId="0" borderId="5" xfId="0" applyFont="1" applyBorder="1" applyAlignment="1" applyProtection="1">
      <alignment horizontal="center"/>
    </xf>
    <xf numFmtId="0" fontId="23" fillId="0" borderId="6" xfId="0" applyFont="1" applyBorder="1" applyAlignment="1" applyProtection="1">
      <alignment horizontal="center"/>
    </xf>
    <xf numFmtId="0" fontId="23" fillId="0" borderId="7" xfId="0" applyFont="1" applyBorder="1" applyAlignment="1" applyProtection="1">
      <alignment horizontal="center"/>
    </xf>
    <xf numFmtId="0" fontId="18" fillId="3" borderId="1" xfId="0" applyFont="1" applyFill="1" applyBorder="1" applyAlignment="1" applyProtection="1">
      <alignment horizontal="center"/>
    </xf>
    <xf numFmtId="0" fontId="18" fillId="3" borderId="0" xfId="0" applyFont="1" applyFill="1" applyBorder="1" applyAlignment="1" applyProtection="1">
      <alignment horizontal="center"/>
    </xf>
    <xf numFmtId="164" fontId="21" fillId="0" borderId="0" xfId="0" applyNumberFormat="1" applyFont="1" applyFill="1" applyBorder="1" applyAlignment="1" applyProtection="1">
      <alignment horizontal="left"/>
    </xf>
    <xf numFmtId="0" fontId="16" fillId="3" borderId="1" xfId="0" applyFont="1" applyFill="1" applyBorder="1" applyAlignment="1" applyProtection="1">
      <alignment horizontal="center"/>
    </xf>
    <xf numFmtId="0" fontId="16" fillId="3" borderId="0" xfId="0" applyFont="1" applyFill="1" applyBorder="1" applyAlignment="1" applyProtection="1">
      <alignment horizontal="center"/>
    </xf>
    <xf numFmtId="164" fontId="21" fillId="0" borderId="0" xfId="0" applyNumberFormat="1" applyFont="1" applyFill="1" applyBorder="1" applyAlignment="1" applyProtection="1">
      <alignment horizontal="center" wrapText="1"/>
    </xf>
    <xf numFmtId="14" fontId="19" fillId="0" borderId="0" xfId="0" applyNumberFormat="1" applyFont="1" applyAlignment="1" applyProtection="1">
      <alignment horizontal="left"/>
    </xf>
    <xf numFmtId="0" fontId="19" fillId="0" borderId="0" xfId="0" applyFont="1" applyAlignment="1" applyProtection="1">
      <alignment horizontal="left"/>
    </xf>
    <xf numFmtId="0" fontId="0" fillId="0" borderId="8" xfId="0" applyFont="1" applyFill="1" applyBorder="1" applyAlignment="1" applyProtection="1">
      <alignment horizontal="center" vertical="top" wrapText="1"/>
    </xf>
    <xf numFmtId="0" fontId="29" fillId="0" borderId="0" xfId="0" applyFont="1" applyAlignment="1">
      <alignment vertical="center" wrapText="1"/>
    </xf>
    <xf numFmtId="164" fontId="0" fillId="0" borderId="0" xfId="0" applyNumberFormat="1" applyFont="1" applyFill="1" applyBorder="1" applyAlignment="1" applyProtection="1"/>
    <xf numFmtId="165" fontId="1" fillId="0" borderId="0" xfId="0" applyNumberFormat="1" applyFont="1" applyFill="1" applyBorder="1" applyAlignment="1" applyProtection="1"/>
    <xf numFmtId="164" fontId="9" fillId="0" borderId="0" xfId="0" applyNumberFormat="1" applyFont="1" applyFill="1" applyBorder="1" applyProtection="1"/>
  </cellXfs>
  <cellStyles count="466">
    <cellStyle name="Gevolgde hyperlink" xfId="2" builtinId="9" hidden="1"/>
    <cellStyle name="Gevolgde hyperlink" xfId="4" builtinId="9" hidden="1"/>
    <cellStyle name="Gevolgde hyperlink" xfId="6" builtinId="9" hidden="1"/>
    <cellStyle name="Gevolgde hyperlink" xfId="8" builtinId="9" hidden="1"/>
    <cellStyle name="Gevolgde hyperlink" xfId="10" builtinId="9" hidden="1"/>
    <cellStyle name="Gevolgde hyperlink" xfId="12" builtinId="9" hidden="1"/>
    <cellStyle name="Gevolgde hyperlink" xfId="14" builtinId="9" hidden="1"/>
    <cellStyle name="Gevolgde hyperlink" xfId="16" builtinId="9" hidden="1"/>
    <cellStyle name="Gevolgde hyperlink" xfId="18" builtinId="9" hidden="1"/>
    <cellStyle name="Gevolgde hyperlink" xfId="20" builtinId="9" hidden="1"/>
    <cellStyle name="Gevolgde hyperlink" xfId="22" builtinId="9" hidden="1"/>
    <cellStyle name="Gevolgde hyperlink" xfId="24" builtinId="9" hidden="1"/>
    <cellStyle name="Gevolgde hyperlink" xfId="26" builtinId="9" hidden="1"/>
    <cellStyle name="Gevolgde hyperlink" xfId="28" builtinId="9" hidden="1"/>
    <cellStyle name="Gevolgde hyperlink" xfId="30" builtinId="9" hidden="1"/>
    <cellStyle name="Gevolgde hyperlink" xfId="32" builtinId="9" hidden="1"/>
    <cellStyle name="Gevolgde hyperlink" xfId="34" builtinId="9" hidden="1"/>
    <cellStyle name="Gevolgde hyperlink" xfId="36" builtinId="9" hidden="1"/>
    <cellStyle name="Gevolgde hyperlink" xfId="38" builtinId="9" hidden="1"/>
    <cellStyle name="Gevolgde hyperlink" xfId="40" builtinId="9" hidden="1"/>
    <cellStyle name="Gevolgde hyperlink" xfId="42" builtinId="9" hidden="1"/>
    <cellStyle name="Gevolgde hyperlink" xfId="44" builtinId="9" hidden="1"/>
    <cellStyle name="Gevolgde hyperlink" xfId="46" builtinId="9" hidden="1"/>
    <cellStyle name="Gevolgde hyperlink" xfId="48" builtinId="9" hidden="1"/>
    <cellStyle name="Gevolgde hyperlink" xfId="50" builtinId="9" hidden="1"/>
    <cellStyle name="Gevolgde hyperlink" xfId="52" builtinId="9" hidden="1"/>
    <cellStyle name="Gevolgde hyperlink" xfId="54" builtinId="9" hidden="1"/>
    <cellStyle name="Gevolgde hyperlink" xfId="56" builtinId="9" hidden="1"/>
    <cellStyle name="Gevolgde hyperlink" xfId="58" builtinId="9" hidden="1"/>
    <cellStyle name="Gevolgde hyperlink" xfId="60" builtinId="9" hidden="1"/>
    <cellStyle name="Gevolgde hyperlink" xfId="62" builtinId="9" hidden="1"/>
    <cellStyle name="Gevolgde hyperlink" xfId="64" builtinId="9" hidden="1"/>
    <cellStyle name="Gevolgde hyperlink" xfId="66" builtinId="9" hidden="1"/>
    <cellStyle name="Gevolgde hyperlink" xfId="68" builtinId="9" hidden="1"/>
    <cellStyle name="Gevolgde hyperlink" xfId="70" builtinId="9" hidden="1"/>
    <cellStyle name="Gevolgde hyperlink" xfId="72" builtinId="9" hidden="1"/>
    <cellStyle name="Gevolgde hyperlink" xfId="74" builtinId="9" hidden="1"/>
    <cellStyle name="Gevolgde hyperlink" xfId="76" builtinId="9" hidden="1"/>
    <cellStyle name="Gevolgde hyperlink" xfId="78" builtinId="9" hidden="1"/>
    <cellStyle name="Gevolgde hyperlink" xfId="80" builtinId="9" hidden="1"/>
    <cellStyle name="Gevolgde hyperlink" xfId="82" builtinId="9" hidden="1"/>
    <cellStyle name="Gevolgde hyperlink" xfId="84" builtinId="9" hidden="1"/>
    <cellStyle name="Gevolgde hyperlink" xfId="86" builtinId="9" hidden="1"/>
    <cellStyle name="Gevolgde hyperlink" xfId="88" builtinId="9" hidden="1"/>
    <cellStyle name="Gevolgde hyperlink" xfId="90" builtinId="9" hidden="1"/>
    <cellStyle name="Gevolgde hyperlink" xfId="92" builtinId="9" hidden="1"/>
    <cellStyle name="Gevolgde hyperlink" xfId="94" builtinId="9" hidden="1"/>
    <cellStyle name="Gevolgde hyperlink" xfId="96" builtinId="9" hidden="1"/>
    <cellStyle name="Gevolgde hyperlink" xfId="98" builtinId="9" hidden="1"/>
    <cellStyle name="Gevolgde hyperlink" xfId="100" builtinId="9" hidden="1"/>
    <cellStyle name="Gevolgde hyperlink" xfId="102" builtinId="9" hidden="1"/>
    <cellStyle name="Gevolgde hyperlink" xfId="104" builtinId="9" hidden="1"/>
    <cellStyle name="Gevolgde hyperlink" xfId="106" builtinId="9" hidden="1"/>
    <cellStyle name="Gevolgde hyperlink" xfId="108" builtinId="9" hidden="1"/>
    <cellStyle name="Gevolgde hyperlink" xfId="110" builtinId="9" hidden="1"/>
    <cellStyle name="Gevolgde hyperlink" xfId="112" builtinId="9" hidden="1"/>
    <cellStyle name="Gevolgde hyperlink" xfId="114" builtinId="9" hidden="1"/>
    <cellStyle name="Gevolgde hyperlink" xfId="116" builtinId="9" hidden="1"/>
    <cellStyle name="Gevolgde hyperlink" xfId="118" builtinId="9" hidden="1"/>
    <cellStyle name="Gevolgde hyperlink" xfId="120" builtinId="9" hidden="1"/>
    <cellStyle name="Gevolgde hyperlink" xfId="122" builtinId="9" hidden="1"/>
    <cellStyle name="Gevolgde hyperlink" xfId="124" builtinId="9" hidden="1"/>
    <cellStyle name="Gevolgde hyperlink" xfId="126" builtinId="9" hidden="1"/>
    <cellStyle name="Gevolgde hyperlink" xfId="128" builtinId="9" hidden="1"/>
    <cellStyle name="Gevolgde hyperlink" xfId="130" builtinId="9" hidden="1"/>
    <cellStyle name="Gevolgde hyperlink" xfId="132" builtinId="9" hidden="1"/>
    <cellStyle name="Gevolgde hyperlink" xfId="134" builtinId="9" hidden="1"/>
    <cellStyle name="Gevolgde hyperlink" xfId="136" builtinId="9" hidden="1"/>
    <cellStyle name="Gevolgde hyperlink" xfId="138" builtinId="9" hidden="1"/>
    <cellStyle name="Gevolgde hyperlink" xfId="140" builtinId="9" hidden="1"/>
    <cellStyle name="Gevolgde hyperlink" xfId="142" builtinId="9" hidden="1"/>
    <cellStyle name="Gevolgde hyperlink" xfId="144" builtinId="9" hidden="1"/>
    <cellStyle name="Gevolgde hyperlink" xfId="146" builtinId="9" hidden="1"/>
    <cellStyle name="Gevolgde hyperlink" xfId="148" builtinId="9" hidden="1"/>
    <cellStyle name="Gevolgde hyperlink" xfId="150" builtinId="9" hidden="1"/>
    <cellStyle name="Gevolgde hyperlink" xfId="152" builtinId="9" hidden="1"/>
    <cellStyle name="Gevolgde hyperlink" xfId="154" builtinId="9" hidden="1"/>
    <cellStyle name="Gevolgde hyperlink" xfId="156" builtinId="9" hidden="1"/>
    <cellStyle name="Gevolgde hyperlink" xfId="158" builtinId="9" hidden="1"/>
    <cellStyle name="Gevolgde hyperlink" xfId="160" builtinId="9" hidden="1"/>
    <cellStyle name="Gevolgde hyperlink" xfId="162" builtinId="9" hidden="1"/>
    <cellStyle name="Gevolgde hyperlink" xfId="164" builtinId="9" hidden="1"/>
    <cellStyle name="Gevolgde hyperlink" xfId="166" builtinId="9" hidden="1"/>
    <cellStyle name="Gevolgde hyperlink" xfId="168" builtinId="9" hidden="1"/>
    <cellStyle name="Gevolgde hyperlink" xfId="170" builtinId="9" hidden="1"/>
    <cellStyle name="Gevolgde hyperlink" xfId="172" builtinId="9" hidden="1"/>
    <cellStyle name="Gevolgde hyperlink" xfId="174" builtinId="9" hidden="1"/>
    <cellStyle name="Gevolgde hyperlink" xfId="176" builtinId="9" hidden="1"/>
    <cellStyle name="Gevolgde hyperlink" xfId="178" builtinId="9" hidden="1"/>
    <cellStyle name="Gevolgde hyperlink" xfId="180" builtinId="9" hidden="1"/>
    <cellStyle name="Gevolgde hyperlink" xfId="182" builtinId="9" hidden="1"/>
    <cellStyle name="Gevolgde hyperlink" xfId="184" builtinId="9" hidden="1"/>
    <cellStyle name="Gevolgde hyperlink" xfId="186" builtinId="9" hidden="1"/>
    <cellStyle name="Gevolgde hyperlink" xfId="188" builtinId="9" hidden="1"/>
    <cellStyle name="Gevolgde hyperlink" xfId="190" builtinId="9" hidden="1"/>
    <cellStyle name="Gevolgde hyperlink" xfId="192" builtinId="9" hidden="1"/>
    <cellStyle name="Gevolgde hyperlink" xfId="194" builtinId="9" hidden="1"/>
    <cellStyle name="Gevolgde hyperlink" xfId="196" builtinId="9" hidden="1"/>
    <cellStyle name="Gevolgde hyperlink" xfId="198" builtinId="9" hidden="1"/>
    <cellStyle name="Gevolgde hyperlink" xfId="200" builtinId="9" hidden="1"/>
    <cellStyle name="Gevolgde hyperlink" xfId="202" builtinId="9" hidden="1"/>
    <cellStyle name="Gevolgde hyperlink" xfId="204" builtinId="9" hidden="1"/>
    <cellStyle name="Gevolgde hyperlink" xfId="206" builtinId="9" hidden="1"/>
    <cellStyle name="Gevolgde hyperlink" xfId="208" builtinId="9" hidden="1"/>
    <cellStyle name="Gevolgde hyperlink" xfId="210" builtinId="9" hidden="1"/>
    <cellStyle name="Gevolgde hyperlink" xfId="212" builtinId="9" hidden="1"/>
    <cellStyle name="Gevolgde hyperlink" xfId="214" builtinId="9" hidden="1"/>
    <cellStyle name="Gevolgde hyperlink" xfId="216" builtinId="9" hidden="1"/>
    <cellStyle name="Gevolgde hyperlink" xfId="218" builtinId="9" hidden="1"/>
    <cellStyle name="Gevolgde hyperlink" xfId="220" builtinId="9" hidden="1"/>
    <cellStyle name="Gevolgde hyperlink" xfId="222" builtinId="9" hidden="1"/>
    <cellStyle name="Gevolgde hyperlink" xfId="224" builtinId="9" hidden="1"/>
    <cellStyle name="Gevolgde hyperlink" xfId="226" builtinId="9" hidden="1"/>
    <cellStyle name="Gevolgde hyperlink" xfId="228" builtinId="9" hidden="1"/>
    <cellStyle name="Gevolgde hyperlink" xfId="230" builtinId="9" hidden="1"/>
    <cellStyle name="Gevolgde hyperlink" xfId="232" builtinId="9" hidden="1"/>
    <cellStyle name="Gevolgde hyperlink" xfId="234" builtinId="9" hidden="1"/>
    <cellStyle name="Gevolgde hyperlink" xfId="236" builtinId="9" hidden="1"/>
    <cellStyle name="Gevolgde hyperlink" xfId="238" builtinId="9" hidden="1"/>
    <cellStyle name="Gevolgde hyperlink" xfId="240" builtinId="9" hidden="1"/>
    <cellStyle name="Gevolgde hyperlink" xfId="242" builtinId="9" hidden="1"/>
    <cellStyle name="Gevolgde hyperlink" xfId="244" builtinId="9" hidden="1"/>
    <cellStyle name="Gevolgde hyperlink" xfId="246" builtinId="9" hidden="1"/>
    <cellStyle name="Gevolgde hyperlink" xfId="248" builtinId="9" hidden="1"/>
    <cellStyle name="Gevolgde hyperlink" xfId="250" builtinId="9" hidden="1"/>
    <cellStyle name="Gevolgde hyperlink" xfId="252" builtinId="9" hidden="1"/>
    <cellStyle name="Gevolgde hyperlink" xfId="254" builtinId="9" hidden="1"/>
    <cellStyle name="Gevolgde hyperlink" xfId="256" builtinId="9" hidden="1"/>
    <cellStyle name="Gevolgde hyperlink" xfId="258" builtinId="9" hidden="1"/>
    <cellStyle name="Gevolgde hyperlink" xfId="260" builtinId="9" hidden="1"/>
    <cellStyle name="Gevolgde hyperlink" xfId="262" builtinId="9" hidden="1"/>
    <cellStyle name="Gevolgde hyperlink" xfId="264" builtinId="9" hidden="1"/>
    <cellStyle name="Gevolgde hyperlink" xfId="266" builtinId="9" hidden="1"/>
    <cellStyle name="Gevolgde hyperlink" xfId="268" builtinId="9" hidden="1"/>
    <cellStyle name="Gevolgde hyperlink" xfId="270" builtinId="9" hidden="1"/>
    <cellStyle name="Gevolgde hyperlink" xfId="272" builtinId="9" hidden="1"/>
    <cellStyle name="Gevolgde hyperlink" xfId="274" builtinId="9" hidden="1"/>
    <cellStyle name="Gevolgde hyperlink" xfId="276" builtinId="9" hidden="1"/>
    <cellStyle name="Gevolgde hyperlink" xfId="278" builtinId="9" hidden="1"/>
    <cellStyle name="Gevolgde hyperlink" xfId="280" builtinId="9" hidden="1"/>
    <cellStyle name="Gevolgde hyperlink" xfId="282" builtinId="9" hidden="1"/>
    <cellStyle name="Gevolgde hyperlink" xfId="284" builtinId="9" hidden="1"/>
    <cellStyle name="Gevolgde hyperlink" xfId="286" builtinId="9" hidden="1"/>
    <cellStyle name="Gevolgde hyperlink" xfId="288" builtinId="9" hidden="1"/>
    <cellStyle name="Gevolgde hyperlink" xfId="290" builtinId="9" hidden="1"/>
    <cellStyle name="Gevolgde hyperlink" xfId="292" builtinId="9" hidden="1"/>
    <cellStyle name="Gevolgde hyperlink" xfId="294" builtinId="9" hidden="1"/>
    <cellStyle name="Gevolgde hyperlink" xfId="296" builtinId="9" hidden="1"/>
    <cellStyle name="Gevolgde hyperlink" xfId="298" builtinId="9" hidden="1"/>
    <cellStyle name="Gevolgde hyperlink" xfId="300" builtinId="9" hidden="1"/>
    <cellStyle name="Gevolgde hyperlink" xfId="302" builtinId="9" hidden="1"/>
    <cellStyle name="Gevolgde hyperlink" xfId="304" builtinId="9" hidden="1"/>
    <cellStyle name="Gevolgde hyperlink" xfId="306" builtinId="9" hidden="1"/>
    <cellStyle name="Gevolgde hyperlink" xfId="308" builtinId="9" hidden="1"/>
    <cellStyle name="Gevolgde hyperlink" xfId="310" builtinId="9" hidden="1"/>
    <cellStyle name="Gevolgde hyperlink" xfId="312" builtinId="9" hidden="1"/>
    <cellStyle name="Gevolgde hyperlink" xfId="314" builtinId="9" hidden="1"/>
    <cellStyle name="Gevolgde hyperlink" xfId="316" builtinId="9" hidden="1"/>
    <cellStyle name="Gevolgde hyperlink" xfId="318" builtinId="9" hidden="1"/>
    <cellStyle name="Gevolgde hyperlink" xfId="320" builtinId="9" hidden="1"/>
    <cellStyle name="Gevolgde hyperlink" xfId="322" builtinId="9" hidden="1"/>
    <cellStyle name="Gevolgde hyperlink" xfId="324" builtinId="9" hidden="1"/>
    <cellStyle name="Gevolgde hyperlink" xfId="326" builtinId="9" hidden="1"/>
    <cellStyle name="Gevolgde hyperlink" xfId="328" builtinId="9" hidden="1"/>
    <cellStyle name="Gevolgde hyperlink" xfId="330" builtinId="9" hidden="1"/>
    <cellStyle name="Gevolgde hyperlink" xfId="332" builtinId="9" hidden="1"/>
    <cellStyle name="Gevolgde hyperlink" xfId="334" builtinId="9" hidden="1"/>
    <cellStyle name="Gevolgde hyperlink" xfId="336" builtinId="9" hidden="1"/>
    <cellStyle name="Gevolgde hyperlink" xfId="338" builtinId="9" hidden="1"/>
    <cellStyle name="Gevolgde hyperlink" xfId="340" builtinId="9" hidden="1"/>
    <cellStyle name="Gevolgde hyperlink" xfId="342" builtinId="9" hidden="1"/>
    <cellStyle name="Gevolgde hyperlink" xfId="344" builtinId="9" hidden="1"/>
    <cellStyle name="Gevolgde hyperlink" xfId="346" builtinId="9" hidden="1"/>
    <cellStyle name="Gevolgde hyperlink" xfId="348" builtinId="9" hidden="1"/>
    <cellStyle name="Gevolgde hyperlink" xfId="350" builtinId="9" hidden="1"/>
    <cellStyle name="Gevolgde hyperlink" xfId="352" builtinId="9" hidden="1"/>
    <cellStyle name="Gevolgde hyperlink" xfId="354" builtinId="9" hidden="1"/>
    <cellStyle name="Gevolgde hyperlink" xfId="356" builtinId="9" hidden="1"/>
    <cellStyle name="Gevolgde hyperlink" xfId="358" builtinId="9" hidden="1"/>
    <cellStyle name="Gevolgde hyperlink" xfId="360" builtinId="9" hidden="1"/>
    <cellStyle name="Gevolgde hyperlink" xfId="362" builtinId="9" hidden="1"/>
    <cellStyle name="Gevolgde hyperlink" xfId="364" builtinId="9" hidden="1"/>
    <cellStyle name="Gevolgde hyperlink" xfId="366" builtinId="9" hidden="1"/>
    <cellStyle name="Gevolgde hyperlink" xfId="368" builtinId="9" hidden="1"/>
    <cellStyle name="Gevolgde hyperlink" xfId="370" builtinId="9" hidden="1"/>
    <cellStyle name="Gevolgde hyperlink" xfId="372" builtinId="9" hidden="1"/>
    <cellStyle name="Gevolgde hyperlink" xfId="374" builtinId="9" hidden="1"/>
    <cellStyle name="Gevolgde hyperlink" xfId="376" builtinId="9" hidden="1"/>
    <cellStyle name="Gevolgde hyperlink" xfId="378" builtinId="9" hidden="1"/>
    <cellStyle name="Gevolgde hyperlink" xfId="380" builtinId="9" hidden="1"/>
    <cellStyle name="Gevolgde hyperlink" xfId="382" builtinId="9" hidden="1"/>
    <cellStyle name="Gevolgde hyperlink" xfId="384" builtinId="9" hidden="1"/>
    <cellStyle name="Gevolgde hyperlink" xfId="386" builtinId="9" hidden="1"/>
    <cellStyle name="Gevolgde hyperlink" xfId="388" builtinId="9" hidden="1"/>
    <cellStyle name="Gevolgde hyperlink" xfId="390" builtinId="9" hidden="1"/>
    <cellStyle name="Gevolgde hyperlink" xfId="392" builtinId="9" hidden="1"/>
    <cellStyle name="Gevolgde hyperlink" xfId="394" builtinId="9" hidden="1"/>
    <cellStyle name="Gevolgde hyperlink" xfId="396" builtinId="9" hidden="1"/>
    <cellStyle name="Gevolgde hyperlink" xfId="398" builtinId="9" hidden="1"/>
    <cellStyle name="Gevolgde hyperlink" xfId="400" builtinId="9" hidden="1"/>
    <cellStyle name="Gevolgde hyperlink" xfId="402" builtinId="9" hidden="1"/>
    <cellStyle name="Gevolgde hyperlink" xfId="404" builtinId="9" hidden="1"/>
    <cellStyle name="Gevolgde hyperlink" xfId="406" builtinId="9" hidden="1"/>
    <cellStyle name="Gevolgde hyperlink" xfId="408" builtinId="9" hidden="1"/>
    <cellStyle name="Gevolgde hyperlink" xfId="410" builtinId="9" hidden="1"/>
    <cellStyle name="Gevolgde hyperlink" xfId="412" builtinId="9" hidden="1"/>
    <cellStyle name="Gevolgde hyperlink" xfId="414" builtinId="9" hidden="1"/>
    <cellStyle name="Gevolgde hyperlink" xfId="416" builtinId="9" hidden="1"/>
    <cellStyle name="Gevolgde hyperlink" xfId="418" builtinId="9" hidden="1"/>
    <cellStyle name="Gevolgde hyperlink" xfId="420" builtinId="9" hidden="1"/>
    <cellStyle name="Gevolgde hyperlink" xfId="422" builtinId="9" hidden="1"/>
    <cellStyle name="Gevolgde hyperlink" xfId="424" builtinId="9" hidden="1"/>
    <cellStyle name="Gevolgde hyperlink" xfId="426" builtinId="9" hidden="1"/>
    <cellStyle name="Gevolgde hyperlink" xfId="428" builtinId="9" hidden="1"/>
    <cellStyle name="Gevolgde hyperlink" xfId="430" builtinId="9" hidden="1"/>
    <cellStyle name="Gevolgde hyperlink" xfId="432" builtinId="9" hidden="1"/>
    <cellStyle name="Gevolgde hyperlink" xfId="434" builtinId="9" hidden="1"/>
    <cellStyle name="Gevolgde hyperlink" xfId="436" builtinId="9" hidden="1"/>
    <cellStyle name="Gevolgde hyperlink" xfId="438" builtinId="9" hidden="1"/>
    <cellStyle name="Gevolgde hyperlink" xfId="440" builtinId="9" hidden="1"/>
    <cellStyle name="Gevolgde hyperlink" xfId="442" builtinId="9" hidden="1"/>
    <cellStyle name="Gevolgde hyperlink" xfId="444" builtinId="9" hidden="1"/>
    <cellStyle name="Gevolgde hyperlink" xfId="446" builtinId="9" hidden="1"/>
    <cellStyle name="Gevolgde hyperlink" xfId="448" builtinId="9" hidden="1"/>
    <cellStyle name="Gevolgde hyperlink" xfId="450" builtinId="9" hidden="1"/>
    <cellStyle name="Gevolgde hyperlink" xfId="452" builtinId="9" hidden="1"/>
    <cellStyle name="Gevolgde hyperlink" xfId="454" builtinId="9" hidden="1"/>
    <cellStyle name="Gevolgde hyperlink" xfId="456" builtinId="9" hidden="1"/>
    <cellStyle name="Gevolgde hyperlink" xfId="458" builtinId="9" hidden="1"/>
    <cellStyle name="Gevolgde hyperlink" xfId="460" builtinId="9" hidden="1"/>
    <cellStyle name="Gevolgde hyperlink" xfId="462" builtinId="9" hidden="1"/>
    <cellStyle name="Gevolgde hyperlink" xfId="46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cellStyle name="Standaard" xfId="0" builtinId="0"/>
  </cellStyles>
  <dxfs count="1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s>
  <tableStyles count="0" defaultTableStyle="TableStyleMedium9" defaultPivotStyle="PivotStyleMedium4"/>
  <colors>
    <mruColors>
      <color rgb="FFFFFF99"/>
      <color rgb="FFFF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60924</xdr:colOff>
      <xdr:row>0</xdr:row>
      <xdr:rowOff>139700</xdr:rowOff>
    </xdr:from>
    <xdr:to>
      <xdr:col>5</xdr:col>
      <xdr:colOff>190500</xdr:colOff>
      <xdr:row>5</xdr:row>
      <xdr:rowOff>151566</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451449" y="139700"/>
          <a:ext cx="1691676" cy="1135816"/>
          <a:chOff x="454624" y="139700"/>
          <a:chExt cx="1691676" cy="1104066"/>
        </a:xfrm>
      </xdr:grpSpPr>
      <xdr:pic>
        <xdr:nvPicPr>
          <xdr:cNvPr id="5" name="Afbeelding 4">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07" t="2064" r="-46"/>
          <a:stretch/>
        </xdr:blipFill>
        <xdr:spPr bwMode="auto">
          <a:xfrm>
            <a:off x="454624" y="139700"/>
            <a:ext cx="1390788" cy="1104066"/>
          </a:xfrm>
          <a:prstGeom prst="rect">
            <a:avLst/>
          </a:prstGeom>
          <a:noFill/>
          <a:extLst>
            <a:ext uri="{909E8E84-426E-40dd-AFC4-6F175D3DCCD1}">
              <a14:hiddenFill xmlns="" xmlns:a14="http://schemas.microsoft.com/office/drawing/2010/main">
                <a:solidFill>
                  <a:srgbClr val="FFFFFF"/>
                </a:solidFill>
              </a14:hiddenFill>
            </a:ext>
          </a:extLst>
        </xdr:spPr>
      </xdr:pic>
      <xdr:sp macro="" textlink="">
        <xdr:nvSpPr>
          <xdr:cNvPr id="6" name="Tekstvak 5">
            <a:extLst>
              <a:ext uri="{FF2B5EF4-FFF2-40B4-BE49-F238E27FC236}">
                <a16:creationId xmlns:a16="http://schemas.microsoft.com/office/drawing/2014/main" id="{00000000-0008-0000-0000-000006000000}"/>
              </a:ext>
            </a:extLst>
          </xdr:cNvPr>
          <xdr:cNvSpPr txBox="1"/>
        </xdr:nvSpPr>
        <xdr:spPr>
          <a:xfrm>
            <a:off x="498229" y="282524"/>
            <a:ext cx="1648071" cy="317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latin typeface="Times New Roman" panose="02020603050405020304" pitchFamily="18" charset="0"/>
                <a:cs typeface="Times New Roman" panose="02020603050405020304" pitchFamily="18" charset="0"/>
              </a:rPr>
              <a:t>V/VA</a:t>
            </a:r>
            <a:r>
              <a:rPr lang="nl-NL" sz="1100" baseline="0">
                <a:latin typeface="Times New Roman" panose="02020603050405020304" pitchFamily="18" charset="0"/>
                <a:cs typeface="Times New Roman" panose="02020603050405020304" pitchFamily="18" charset="0"/>
              </a:rPr>
              <a:t> klassenorganisatie</a:t>
            </a:r>
            <a:endParaRPr lang="nl-NL" sz="1100">
              <a:latin typeface="Times New Roman" panose="02020603050405020304" pitchFamily="18" charset="0"/>
              <a:cs typeface="Times New Roman" panose="02020603050405020304" pitchFamily="18" charset="0"/>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ieter_pluimer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B80"/>
  <sheetViews>
    <sheetView showGridLines="0" tabSelected="1" workbookViewId="0">
      <selection activeCell="AN13" sqref="AN13"/>
    </sheetView>
  </sheetViews>
  <sheetFormatPr defaultColWidth="11" defaultRowHeight="15.75" x14ac:dyDescent="0.25"/>
  <cols>
    <col min="1" max="1" width="5.125" style="3" customWidth="1"/>
    <col min="2" max="2" width="10.125" style="3" customWidth="1"/>
    <col min="3" max="3" width="1.875" style="3" bestFit="1" customWidth="1"/>
    <col min="4" max="4" width="6.625" style="3" customWidth="1"/>
    <col min="5" max="5" width="1.875" style="3" customWidth="1"/>
    <col min="6" max="6" width="6.625" style="3" customWidth="1"/>
    <col min="7" max="7" width="2" style="4" bestFit="1" customWidth="1"/>
    <col min="8" max="8" width="8.625" style="3" customWidth="1"/>
    <col min="9" max="9" width="1.875" style="3" customWidth="1"/>
    <col min="10" max="10" width="6.375" style="3" customWidth="1"/>
    <col min="11" max="11" width="2.875" style="3" customWidth="1"/>
    <col min="12" max="12" width="6.125" style="4" customWidth="1"/>
    <col min="13" max="13" width="2" style="3" bestFit="1" customWidth="1"/>
    <col min="14" max="14" width="7.625" style="3" customWidth="1"/>
    <col min="15" max="15" width="1.875" style="5" customWidth="1"/>
    <col min="16" max="16" width="5.625" style="3" customWidth="1"/>
    <col min="17" max="17" width="2" style="3" bestFit="1" customWidth="1"/>
    <col min="18" max="18" width="6.125" style="3" customWidth="1"/>
    <col min="19" max="19" width="2" style="3" customWidth="1"/>
    <col min="20" max="20" width="7.625" style="3" customWidth="1"/>
    <col min="21" max="21" width="2" style="3" customWidth="1"/>
    <col min="22" max="22" width="4.125" style="3" customWidth="1"/>
    <col min="23" max="23" width="7" style="3" customWidth="1"/>
    <col min="24" max="24" width="1.875" style="3" bestFit="1" customWidth="1"/>
    <col min="25" max="25" width="7.625" style="3" customWidth="1"/>
    <col min="26" max="26" width="3.875" style="5" customWidth="1"/>
    <col min="27" max="27" width="2.625" style="3" customWidth="1"/>
    <col min="28" max="28" width="18.75" style="3" bestFit="1" customWidth="1"/>
    <col min="29" max="29" width="1.875" style="3" bestFit="1" customWidth="1"/>
    <col min="30" max="30" width="8" style="3" customWidth="1"/>
    <col min="31" max="31" width="1.875" style="5" customWidth="1"/>
    <col min="32" max="32" width="6.375" style="3" bestFit="1" customWidth="1"/>
    <col min="33" max="33" width="2" style="3" bestFit="1" customWidth="1"/>
    <col min="34" max="34" width="6.375" style="3" bestFit="1" customWidth="1"/>
    <col min="35" max="35" width="4.875" style="3" customWidth="1"/>
    <col min="36" max="36" width="7" style="3" customWidth="1"/>
    <col min="37" max="37" width="1.875" style="3" bestFit="1" customWidth="1"/>
    <col min="38" max="38" width="8.125" style="3" customWidth="1"/>
    <col min="39" max="50" width="7" style="3" customWidth="1"/>
    <col min="51" max="51" width="21.625" style="3" customWidth="1"/>
    <col min="52" max="16384" width="11" style="3"/>
  </cols>
  <sheetData>
    <row r="1" spans="2:49" s="78" customFormat="1" ht="16.5" thickBot="1" x14ac:dyDescent="0.3">
      <c r="G1" s="134"/>
      <c r="L1" s="134"/>
      <c r="O1" s="19"/>
      <c r="Z1" s="19"/>
      <c r="AE1" s="19"/>
    </row>
    <row r="2" spans="2:49" s="131" customFormat="1" ht="24" thickBot="1" x14ac:dyDescent="0.4">
      <c r="G2" s="132"/>
      <c r="J2" s="148" t="s">
        <v>257</v>
      </c>
      <c r="K2" s="149"/>
      <c r="L2" s="149"/>
      <c r="M2" s="149"/>
      <c r="N2" s="149"/>
      <c r="O2" s="149"/>
      <c r="P2" s="149"/>
      <c r="Q2" s="149"/>
      <c r="R2" s="149"/>
      <c r="S2" s="149"/>
      <c r="T2" s="149"/>
      <c r="U2" s="149"/>
      <c r="V2" s="149"/>
      <c r="W2" s="149"/>
      <c r="X2" s="149"/>
      <c r="Y2" s="150"/>
      <c r="Z2" s="133"/>
      <c r="AB2" s="135" t="s">
        <v>187</v>
      </c>
      <c r="AC2" s="135" t="s">
        <v>188</v>
      </c>
      <c r="AD2" s="136"/>
      <c r="AE2" s="133"/>
    </row>
    <row r="3" spans="2:49" s="1" customFormat="1" ht="13.5" customHeight="1" x14ac:dyDescent="0.3">
      <c r="O3" s="2"/>
      <c r="Z3" s="2"/>
      <c r="AA3" s="78"/>
      <c r="AB3" s="131"/>
      <c r="AC3" s="130" t="s">
        <v>189</v>
      </c>
      <c r="AD3" s="131"/>
      <c r="AE3" s="2"/>
    </row>
    <row r="4" spans="2:49" x14ac:dyDescent="0.25">
      <c r="L4" s="3"/>
      <c r="M4" s="3" t="s">
        <v>180</v>
      </c>
      <c r="N4" s="4"/>
      <c r="O4" s="3"/>
      <c r="R4" s="3" t="s">
        <v>179</v>
      </c>
      <c r="U4" s="3" t="s">
        <v>178</v>
      </c>
      <c r="Y4" s="3" t="s">
        <v>177</v>
      </c>
      <c r="Z4" s="3"/>
      <c r="AA4" s="131"/>
      <c r="AC4" s="157">
        <v>43221</v>
      </c>
      <c r="AD4" s="158"/>
      <c r="AE4" s="158"/>
      <c r="AF4" s="158"/>
    </row>
    <row r="5" spans="2:49" ht="18.75" x14ac:dyDescent="0.3">
      <c r="G5" s="3" t="s">
        <v>182</v>
      </c>
      <c r="H5" s="6"/>
      <c r="I5" s="6"/>
      <c r="L5" s="3"/>
      <c r="M5" s="153" t="e">
        <f>-0.0245*N69+0.3931*N69^(0.5)+0.0847</f>
        <v>#DIV/0!</v>
      </c>
      <c r="N5" s="153"/>
      <c r="O5" s="3"/>
      <c r="R5" s="156" t="e">
        <f>-0.0516*RL_z+0.5513*RL_z^(0.5)-0.1319</f>
        <v>#DIV/0!</v>
      </c>
      <c r="S5" s="156"/>
      <c r="U5" s="153" t="e">
        <f>-0.0231*RM_z+0.4039*RM_z^(0.5)+0.0266</f>
        <v>#DIV/0!</v>
      </c>
      <c r="V5" s="153"/>
      <c r="W5" s="153"/>
      <c r="Y5" s="153" t="e">
        <f>-0.0098*RZ_z+0.2741*RZ_z^(0.5)+0.3205</f>
        <v>#DIV/0!</v>
      </c>
      <c r="Z5" s="153"/>
      <c r="AE5" s="3"/>
    </row>
    <row r="6" spans="2:49" ht="18.75" x14ac:dyDescent="0.3">
      <c r="G6" s="3" t="s">
        <v>183</v>
      </c>
      <c r="H6" s="6"/>
      <c r="I6" s="6"/>
      <c r="L6" s="3"/>
      <c r="M6" s="153" t="e">
        <f>-0.0245*RA+0.3931*RA^(0.5)+0.0847</f>
        <v>#DIV/0!</v>
      </c>
      <c r="N6" s="153"/>
      <c r="O6" s="3"/>
      <c r="R6" s="153" t="e">
        <f>-0.0516*RL+0.5513*RL^(0.5)-0.1319</f>
        <v>#DIV/0!</v>
      </c>
      <c r="S6" s="153"/>
      <c r="U6" s="153" t="e">
        <f>-0.0231*RMM+0.4039*RMM^(0.5)+0.0266</f>
        <v>#DIV/0!</v>
      </c>
      <c r="V6" s="153"/>
      <c r="W6" s="153"/>
      <c r="Y6" s="153" t="e">
        <f>-0.0098*RZ+0.2741*RZ^(0.5)+0.3205</f>
        <v>#DIV/0!</v>
      </c>
      <c r="Z6" s="153"/>
      <c r="AE6" s="3"/>
    </row>
    <row r="7" spans="2:49" ht="7.5" customHeight="1" thickBot="1" x14ac:dyDescent="0.35">
      <c r="B7" s="8"/>
      <c r="C7" s="8"/>
      <c r="D7" s="8"/>
      <c r="E7" s="8"/>
      <c r="F7" s="8"/>
      <c r="G7" s="8"/>
      <c r="H7" s="8"/>
      <c r="I7" s="9"/>
      <c r="J7" s="9"/>
      <c r="K7" s="9"/>
      <c r="L7" s="9"/>
      <c r="M7" s="9"/>
      <c r="N7" s="10"/>
      <c r="O7" s="10"/>
      <c r="P7" s="10"/>
      <c r="Q7" s="10"/>
      <c r="R7" s="10"/>
      <c r="S7" s="10"/>
      <c r="T7" s="8"/>
      <c r="U7" s="8"/>
      <c r="V7" s="8"/>
      <c r="W7" s="8"/>
      <c r="X7" s="8"/>
      <c r="Y7" s="8"/>
      <c r="Z7" s="8"/>
      <c r="AA7" s="8"/>
      <c r="AB7" s="11"/>
      <c r="AC7" s="11"/>
      <c r="AD7" s="12"/>
      <c r="AE7" s="12"/>
      <c r="AF7" s="12"/>
      <c r="AG7" s="13"/>
      <c r="AH7" s="14"/>
      <c r="AI7" s="15"/>
      <c r="AJ7" s="15"/>
      <c r="AK7" s="15"/>
      <c r="AL7" s="15"/>
      <c r="AM7" s="15"/>
      <c r="AN7" s="15"/>
      <c r="AO7" s="15"/>
      <c r="AP7" s="15"/>
      <c r="AQ7" s="5"/>
      <c r="AR7" s="5"/>
      <c r="AS7" s="5"/>
      <c r="AT7" s="5"/>
    </row>
    <row r="8" spans="2:49" ht="21" customHeight="1" x14ac:dyDescent="0.25">
      <c r="B8" s="16" t="s">
        <v>160</v>
      </c>
      <c r="C8" s="17"/>
      <c r="D8" s="17"/>
      <c r="E8" s="17"/>
      <c r="F8" s="17"/>
      <c r="G8" s="18"/>
      <c r="H8" s="17"/>
      <c r="I8" s="17"/>
      <c r="J8" s="17"/>
      <c r="K8" s="17"/>
      <c r="P8" s="17"/>
      <c r="Q8" s="17"/>
      <c r="R8" s="17"/>
      <c r="S8" s="17"/>
      <c r="T8" s="17"/>
      <c r="U8" s="17"/>
      <c r="V8" s="17"/>
      <c r="W8" s="17"/>
      <c r="X8" s="17"/>
      <c r="Y8" s="17"/>
      <c r="Z8" s="17"/>
      <c r="AA8" s="17"/>
      <c r="AB8" s="17"/>
      <c r="AC8" s="17"/>
      <c r="AD8" s="19"/>
      <c r="AE8" s="19"/>
      <c r="AF8" s="19"/>
      <c r="AG8" s="20"/>
      <c r="AH8" s="15"/>
      <c r="AI8" s="15"/>
      <c r="AJ8" s="15"/>
      <c r="AK8" s="15"/>
      <c r="AL8" s="15"/>
      <c r="AM8" s="15"/>
      <c r="AN8" s="15"/>
      <c r="AO8" s="15"/>
      <c r="AP8" s="15"/>
      <c r="AQ8" s="5"/>
      <c r="AR8" s="5"/>
      <c r="AS8" s="5"/>
      <c r="AT8" s="5"/>
    </row>
    <row r="9" spans="2:49" x14ac:dyDescent="0.25">
      <c r="B9" t="s">
        <v>0</v>
      </c>
      <c r="C9" s="17" t="s">
        <v>6</v>
      </c>
      <c r="D9" s="112"/>
      <c r="E9" s="17"/>
      <c r="F9" s="17"/>
      <c r="G9" s="18"/>
      <c r="H9" s="17" t="s">
        <v>3</v>
      </c>
      <c r="I9" s="17" t="s">
        <v>6</v>
      </c>
      <c r="J9" s="113"/>
      <c r="K9" s="21"/>
      <c r="R9" s="17" t="s">
        <v>13</v>
      </c>
      <c r="S9" s="17" t="s">
        <v>6</v>
      </c>
      <c r="T9" s="116"/>
      <c r="U9" s="17"/>
      <c r="V9" s="17"/>
      <c r="W9" s="17" t="s">
        <v>20</v>
      </c>
      <c r="X9" s="17" t="s">
        <v>6</v>
      </c>
      <c r="Y9" s="113">
        <v>0.34</v>
      </c>
      <c r="Z9" s="21"/>
      <c r="AB9" s="22" t="s">
        <v>161</v>
      </c>
      <c r="AC9" s="3" t="s">
        <v>6</v>
      </c>
      <c r="AD9" s="116"/>
      <c r="AE9" s="23"/>
      <c r="AF9" s="145" t="s">
        <v>158</v>
      </c>
      <c r="AG9" s="20" t="s">
        <v>6</v>
      </c>
      <c r="AH9" s="24">
        <f>ROUND(LOA*0.42,2)</f>
        <v>0</v>
      </c>
      <c r="AI9" s="15"/>
      <c r="AJ9" s="15"/>
      <c r="AK9" s="15"/>
      <c r="AL9" s="15"/>
      <c r="AM9" s="15"/>
      <c r="AN9" s="15"/>
      <c r="AO9" s="15"/>
      <c r="AP9" s="15"/>
      <c r="AQ9" s="5"/>
      <c r="AR9" s="5"/>
      <c r="AS9" s="5"/>
      <c r="AT9" s="5"/>
    </row>
    <row r="10" spans="2:49" x14ac:dyDescent="0.25">
      <c r="B10" s="17" t="s">
        <v>1</v>
      </c>
      <c r="C10" s="17" t="s">
        <v>6</v>
      </c>
      <c r="D10" s="113"/>
      <c r="E10" s="17"/>
      <c r="F10" s="17"/>
      <c r="G10" s="18"/>
      <c r="H10" s="25" t="s">
        <v>10</v>
      </c>
      <c r="I10" s="25" t="s">
        <v>6</v>
      </c>
      <c r="J10" s="118"/>
      <c r="K10" s="25"/>
      <c r="L10" s="26" t="s">
        <v>33</v>
      </c>
      <c r="M10" s="25"/>
      <c r="N10" s="27" t="s">
        <v>158</v>
      </c>
      <c r="O10" s="28"/>
      <c r="P10" s="5"/>
      <c r="R10" s="17" t="s">
        <v>14</v>
      </c>
      <c r="S10" s="29" t="s">
        <v>6</v>
      </c>
      <c r="T10" s="116"/>
      <c r="U10" s="25"/>
      <c r="V10" s="25"/>
      <c r="W10" s="17" t="s">
        <v>23</v>
      </c>
      <c r="X10" s="29" t="s">
        <v>6</v>
      </c>
      <c r="Y10" s="115"/>
      <c r="Z10" s="21"/>
      <c r="AB10" s="22" t="s">
        <v>30</v>
      </c>
      <c r="AC10" s="22" t="s">
        <v>6</v>
      </c>
      <c r="AD10" s="115"/>
      <c r="AE10" s="30"/>
      <c r="AF10" s="146" t="s">
        <v>158</v>
      </c>
      <c r="AG10" s="20" t="s">
        <v>6</v>
      </c>
      <c r="AH10" s="32">
        <f>ROUND(1.05*LOA,2)</f>
        <v>0</v>
      </c>
      <c r="AI10" s="15"/>
      <c r="AJ10" s="15"/>
      <c r="AK10" s="15"/>
      <c r="AL10" s="15"/>
      <c r="AM10" s="15"/>
      <c r="AN10" s="15"/>
      <c r="AO10" s="15"/>
      <c r="AP10" s="15"/>
      <c r="AQ10" s="5"/>
      <c r="AR10" s="5"/>
      <c r="AS10" s="5"/>
      <c r="AT10" s="5"/>
    </row>
    <row r="11" spans="2:49" x14ac:dyDescent="0.25">
      <c r="B11" s="17" t="s">
        <v>2</v>
      </c>
      <c r="C11" s="17" t="s">
        <v>6</v>
      </c>
      <c r="D11" s="21">
        <f>LOA-OV-OA</f>
        <v>0</v>
      </c>
      <c r="H11" s="25" t="s">
        <v>8</v>
      </c>
      <c r="I11" s="25" t="s">
        <v>6</v>
      </c>
      <c r="J11" s="117"/>
      <c r="K11" s="25"/>
      <c r="L11" s="33">
        <f>ROUND(0.07*LOA,2)</f>
        <v>0</v>
      </c>
      <c r="M11" s="17" t="s">
        <v>32</v>
      </c>
      <c r="N11" s="32">
        <f>ROUND(IF(LWL&lt;13,((16.5-0.5*LWL)*LOA/100),IF(LWL&gt;=13,(0.1*LOA))),2)</f>
        <v>0</v>
      </c>
      <c r="O11" s="34"/>
      <c r="P11" s="5"/>
      <c r="R11" s="25" t="s">
        <v>11</v>
      </c>
      <c r="S11" s="17" t="s">
        <v>6</v>
      </c>
      <c r="T11" s="113"/>
      <c r="W11" s="17" t="s">
        <v>24</v>
      </c>
      <c r="X11" s="17" t="s">
        <v>6</v>
      </c>
      <c r="Y11" s="113"/>
      <c r="Z11" s="21"/>
      <c r="AB11" s="17" t="s">
        <v>31</v>
      </c>
      <c r="AC11" s="5" t="s">
        <v>6</v>
      </c>
      <c r="AD11" s="113"/>
      <c r="AE11" s="21"/>
      <c r="AF11" s="31"/>
      <c r="AG11" s="20"/>
      <c r="AH11" s="35"/>
      <c r="AI11" s="15"/>
      <c r="AJ11" s="15"/>
      <c r="AK11" s="15"/>
      <c r="AL11" s="15"/>
      <c r="AM11" s="15"/>
      <c r="AN11" s="15"/>
      <c r="AO11" s="15"/>
      <c r="AP11" s="15"/>
      <c r="AQ11" s="5"/>
      <c r="AR11" s="5"/>
      <c r="AS11" s="5"/>
      <c r="AT11" s="5"/>
      <c r="AU11" s="5"/>
      <c r="AV11" s="5"/>
      <c r="AW11" s="5"/>
    </row>
    <row r="12" spans="2:49" x14ac:dyDescent="0.25">
      <c r="B12" s="17" t="s">
        <v>15</v>
      </c>
      <c r="C12" s="29" t="s">
        <v>6</v>
      </c>
      <c r="D12" s="114"/>
      <c r="E12" s="17"/>
      <c r="F12" s="17"/>
      <c r="G12" s="18"/>
      <c r="H12" s="25" t="s">
        <v>9</v>
      </c>
      <c r="I12" s="25" t="s">
        <v>6</v>
      </c>
      <c r="J12" s="117"/>
      <c r="K12" s="25"/>
      <c r="L12" s="33">
        <f>ROUND(0.04*LOA,2)</f>
        <v>0</v>
      </c>
      <c r="M12" s="17" t="s">
        <v>32</v>
      </c>
      <c r="N12" s="32">
        <f>ROUND(0.075*LOA,2)</f>
        <v>0</v>
      </c>
      <c r="O12" s="34"/>
      <c r="P12" s="17"/>
      <c r="Q12" s="17"/>
      <c r="R12" s="17" t="s">
        <v>5</v>
      </c>
      <c r="S12" s="29" t="s">
        <v>6</v>
      </c>
      <c r="T12" s="118"/>
      <c r="W12" s="17" t="s">
        <v>262</v>
      </c>
      <c r="X12" s="17" t="s">
        <v>6</v>
      </c>
      <c r="Y12" s="113"/>
      <c r="Z12" s="17"/>
      <c r="AB12" s="17" t="s">
        <v>78</v>
      </c>
      <c r="AC12" s="3" t="s">
        <v>6</v>
      </c>
      <c r="AD12" s="120"/>
      <c r="AE12" s="36"/>
      <c r="AF12" s="31"/>
      <c r="AG12" s="20"/>
      <c r="AH12" s="35"/>
      <c r="AI12" s="15"/>
      <c r="AJ12" s="15"/>
      <c r="AK12" s="15"/>
      <c r="AM12" s="15"/>
      <c r="AN12" s="15"/>
      <c r="AO12" s="15"/>
      <c r="AP12" s="15"/>
      <c r="AQ12" s="5"/>
      <c r="AR12" s="5"/>
      <c r="AS12" s="5"/>
      <c r="AT12" s="5"/>
      <c r="AU12" s="5"/>
      <c r="AV12" s="5"/>
      <c r="AW12" s="5"/>
    </row>
    <row r="13" spans="2:49" x14ac:dyDescent="0.25">
      <c r="B13" s="17" t="s">
        <v>4</v>
      </c>
      <c r="C13" s="17" t="s">
        <v>6</v>
      </c>
      <c r="D13" s="115"/>
      <c r="E13" s="16"/>
      <c r="F13" s="16"/>
      <c r="G13" s="16"/>
      <c r="H13" s="25" t="s">
        <v>7</v>
      </c>
      <c r="I13" s="25" t="s">
        <v>6</v>
      </c>
      <c r="J13" s="116"/>
      <c r="K13" s="37"/>
      <c r="L13" s="33">
        <f>ROUND(IF(L&lt;15,(LWL/(0.078*L+2.134)),IF(L&gt;=15,LWL/3.3)),2)</f>
        <v>0</v>
      </c>
      <c r="M13" s="17" t="s">
        <v>32</v>
      </c>
      <c r="N13" s="32">
        <f>ROUND(IF(L&lt;15,(LWL/(0.078*L+1.73)),IF(L&gt;=15,LWL/2.9)),2)</f>
        <v>0</v>
      </c>
      <c r="O13" s="34"/>
      <c r="P13" s="17"/>
      <c r="Q13" s="17"/>
      <c r="R13" s="17" t="s">
        <v>41</v>
      </c>
      <c r="S13" s="17" t="s">
        <v>6</v>
      </c>
      <c r="T13" s="119"/>
      <c r="V13" s="145" t="s">
        <v>184</v>
      </c>
      <c r="W13" s="32">
        <f>+(LWL / 4.55) ^ 3</f>
        <v>0</v>
      </c>
      <c r="Z13" s="17"/>
      <c r="AB13" s="17" t="s">
        <v>159</v>
      </c>
      <c r="AC13" s="3" t="s">
        <v>6</v>
      </c>
      <c r="AD13" s="113"/>
      <c r="AE13" s="21"/>
      <c r="AF13" s="146" t="s">
        <v>158</v>
      </c>
      <c r="AG13" s="20" t="s">
        <v>6</v>
      </c>
      <c r="AH13" s="32">
        <f>ROUND(1.5*J,2)</f>
        <v>0</v>
      </c>
      <c r="AI13" s="15"/>
      <c r="AJ13" s="15"/>
      <c r="AK13" s="15"/>
      <c r="AM13" s="15"/>
      <c r="AN13" s="15"/>
      <c r="AO13" s="15"/>
      <c r="AP13" s="15"/>
      <c r="AQ13" s="5"/>
      <c r="AR13" s="5"/>
      <c r="AS13" s="5"/>
      <c r="AT13" s="5"/>
      <c r="AU13" s="5"/>
      <c r="AV13" s="5"/>
      <c r="AW13" s="5"/>
    </row>
    <row r="14" spans="2:49" ht="9" customHeight="1" x14ac:dyDescent="0.25">
      <c r="K14" s="5"/>
      <c r="R14" s="17"/>
      <c r="S14" s="5"/>
      <c r="AA14" s="38"/>
      <c r="AF14" s="25"/>
      <c r="AG14" s="25"/>
      <c r="AH14" s="22"/>
      <c r="AI14" s="17"/>
      <c r="AJ14" s="17"/>
      <c r="AK14" s="17"/>
      <c r="AM14" s="17"/>
      <c r="AN14" s="17"/>
      <c r="AO14" s="5"/>
      <c r="AP14" s="5"/>
      <c r="AQ14" s="5"/>
      <c r="AR14" s="5"/>
      <c r="AS14" s="5"/>
      <c r="AT14" s="5"/>
      <c r="AU14" s="5"/>
      <c r="AV14" s="5"/>
      <c r="AW14" s="5"/>
    </row>
    <row r="15" spans="2:49" ht="21" customHeight="1" thickBot="1" x14ac:dyDescent="0.3">
      <c r="B15" s="147" t="s">
        <v>114</v>
      </c>
      <c r="C15" s="40"/>
      <c r="D15" s="40"/>
      <c r="E15" s="39"/>
      <c r="F15" s="39">
        <f>ROUND(LWL,0)</f>
        <v>0</v>
      </c>
      <c r="G15" s="39" t="s">
        <v>126</v>
      </c>
      <c r="H15" s="41"/>
      <c r="I15" s="41"/>
      <c r="J15" s="40"/>
      <c r="K15" s="39"/>
      <c r="L15" s="147" t="s">
        <v>26</v>
      </c>
      <c r="M15" s="39"/>
      <c r="N15" s="39"/>
      <c r="O15" s="39"/>
      <c r="P15" s="40"/>
      <c r="Q15" s="40"/>
      <c r="R15" s="42">
        <f>0.002*LWL^2*BWL*CW*1000</f>
        <v>0</v>
      </c>
      <c r="S15" s="39" t="s">
        <v>27</v>
      </c>
      <c r="T15" s="41"/>
      <c r="U15" s="41"/>
      <c r="V15" s="41"/>
      <c r="W15" s="41"/>
      <c r="X15" s="41"/>
      <c r="Y15" s="41"/>
      <c r="Z15" s="11"/>
      <c r="AA15" s="41"/>
      <c r="AB15" s="41"/>
      <c r="AC15" s="41"/>
      <c r="AD15" s="41"/>
      <c r="AE15" s="11"/>
      <c r="AF15" s="11"/>
      <c r="AG15" s="43"/>
      <c r="AH15" s="43"/>
      <c r="AI15" s="17"/>
      <c r="AJ15" s="17"/>
      <c r="AK15" s="17"/>
      <c r="AM15" s="17"/>
      <c r="AN15" s="17"/>
      <c r="AO15" s="5"/>
      <c r="AP15" s="5"/>
      <c r="AQ15" s="5"/>
      <c r="AR15" s="5"/>
      <c r="AS15" s="5"/>
      <c r="AT15" s="5"/>
      <c r="AU15" s="5"/>
      <c r="AV15" s="5"/>
    </row>
    <row r="16" spans="2:49" ht="7.5" customHeight="1" x14ac:dyDescent="0.25">
      <c r="B16" s="16"/>
      <c r="C16" s="16"/>
      <c r="D16" s="16"/>
      <c r="E16" s="17"/>
      <c r="F16" s="17"/>
      <c r="G16" s="18"/>
      <c r="H16" s="5"/>
      <c r="I16" s="5"/>
      <c r="K16" s="5"/>
      <c r="L16" s="44"/>
      <c r="R16" s="17"/>
      <c r="S16" s="38"/>
      <c r="X16" s="45"/>
      <c r="Y16" s="45"/>
      <c r="Z16" s="45"/>
      <c r="AA16" s="17"/>
      <c r="AB16" s="29"/>
      <c r="AC16" s="21"/>
      <c r="AD16" s="17"/>
      <c r="AE16" s="17"/>
      <c r="AF16" s="17"/>
      <c r="AG16" s="22"/>
      <c r="AH16" s="22"/>
      <c r="AL16" s="17"/>
      <c r="AM16" s="17"/>
      <c r="AN16" s="17"/>
      <c r="AO16" s="5"/>
      <c r="AP16" s="5"/>
      <c r="AQ16" s="5"/>
      <c r="AR16" s="5"/>
      <c r="AS16" s="5"/>
      <c r="AT16" s="5"/>
      <c r="AU16" s="5"/>
      <c r="AV16" s="5"/>
    </row>
    <row r="17" spans="2:48" x14ac:dyDescent="0.25">
      <c r="B17" s="16" t="s">
        <v>162</v>
      </c>
      <c r="C17" s="17"/>
      <c r="D17" s="17"/>
      <c r="E17" s="17"/>
      <c r="F17" s="17"/>
      <c r="G17" s="18"/>
      <c r="K17" s="5"/>
      <c r="L17" s="46"/>
      <c r="M17" s="17"/>
      <c r="N17" s="17"/>
      <c r="O17" s="17"/>
      <c r="P17" s="17"/>
      <c r="Q17" s="17"/>
      <c r="R17" s="17"/>
      <c r="S17" s="17"/>
      <c r="T17" s="38"/>
      <c r="U17" s="38"/>
      <c r="V17" s="38"/>
      <c r="W17" s="38"/>
      <c r="X17" s="37"/>
      <c r="Y17" s="37"/>
      <c r="Z17" s="37"/>
      <c r="AA17" s="47"/>
      <c r="AB17" s="48" t="s">
        <v>169</v>
      </c>
      <c r="AC17" s="17"/>
      <c r="AD17" s="17"/>
      <c r="AE17" s="17"/>
      <c r="AF17" s="17"/>
      <c r="AG17" s="22"/>
      <c r="AH17" s="22"/>
      <c r="AI17" s="17"/>
      <c r="AJ17" s="17"/>
      <c r="AK17" s="17"/>
      <c r="AL17" s="29"/>
      <c r="AM17" s="22"/>
      <c r="AN17" s="17"/>
      <c r="AO17" s="17"/>
      <c r="AP17" s="5"/>
      <c r="AQ17" s="5"/>
      <c r="AR17" s="5"/>
      <c r="AS17" s="5"/>
      <c r="AT17" s="5"/>
      <c r="AU17" s="5"/>
      <c r="AV17" s="5"/>
    </row>
    <row r="18" spans="2:48" s="5" customFormat="1" x14ac:dyDescent="0.25">
      <c r="B18" s="49" t="s">
        <v>28</v>
      </c>
      <c r="C18" s="49"/>
      <c r="D18" s="49"/>
      <c r="E18" s="49"/>
      <c r="F18" s="49"/>
      <c r="G18" s="49"/>
      <c r="H18" s="49"/>
      <c r="I18" s="49"/>
      <c r="J18" s="49"/>
      <c r="K18" s="49"/>
      <c r="L18" s="49" t="s">
        <v>163</v>
      </c>
      <c r="M18" s="49"/>
      <c r="N18" s="49"/>
      <c r="O18" s="49"/>
      <c r="P18" s="49"/>
      <c r="Q18" s="49"/>
      <c r="R18" s="17"/>
      <c r="S18" s="17"/>
      <c r="W18" s="16" t="s">
        <v>164</v>
      </c>
      <c r="X18" s="17"/>
      <c r="Y18" s="17"/>
      <c r="Z18" s="17"/>
      <c r="AA18" s="47"/>
      <c r="AB18" s="17" t="s">
        <v>55</v>
      </c>
      <c r="AC18" s="38" t="s">
        <v>6</v>
      </c>
      <c r="AD18" s="30">
        <f>MG+MV+MK</f>
        <v>0</v>
      </c>
      <c r="AE18" s="30"/>
      <c r="AF18" s="50" t="e">
        <f>(GZVmin*D^(1/3))^2</f>
        <v>#DIV/0!</v>
      </c>
      <c r="AG18" s="17" t="s">
        <v>32</v>
      </c>
      <c r="AH18" s="24" t="e">
        <f>+(4.35*(D^(1/3)))^2</f>
        <v>#DIV/0!</v>
      </c>
      <c r="AI18" s="3"/>
      <c r="AK18" s="51"/>
      <c r="AL18" s="51"/>
      <c r="AN18" s="51"/>
      <c r="AO18" s="17"/>
      <c r="AP18" s="17"/>
      <c r="AQ18" s="17"/>
      <c r="AR18" s="17"/>
      <c r="AS18" s="17"/>
      <c r="AT18" s="17"/>
      <c r="AU18" s="17"/>
      <c r="AV18" s="17"/>
    </row>
    <row r="19" spans="2:48" x14ac:dyDescent="0.25">
      <c r="B19" s="38" t="s">
        <v>51</v>
      </c>
      <c r="C19" s="25" t="s">
        <v>6</v>
      </c>
      <c r="D19" s="115"/>
      <c r="F19" s="52" t="s">
        <v>186</v>
      </c>
      <c r="G19" s="17" t="s">
        <v>32</v>
      </c>
      <c r="H19" s="32">
        <f>ROUND(0.48*GOL,2)</f>
        <v>0</v>
      </c>
      <c r="K19" s="50"/>
      <c r="L19" s="18" t="s">
        <v>57</v>
      </c>
      <c r="M19" s="25" t="s">
        <v>6</v>
      </c>
      <c r="N19" s="121"/>
      <c r="O19" s="32"/>
      <c r="P19" s="17"/>
      <c r="Q19" s="17"/>
      <c r="R19" s="17"/>
      <c r="S19" s="17"/>
      <c r="W19" s="17" t="s">
        <v>59</v>
      </c>
      <c r="X19" s="38" t="s">
        <v>6</v>
      </c>
      <c r="Y19" s="122"/>
      <c r="Z19" s="53"/>
      <c r="AA19" s="54"/>
      <c r="AB19" s="55" t="s">
        <v>37</v>
      </c>
      <c r="AC19" s="17" t="s">
        <v>6</v>
      </c>
      <c r="AD19" s="56" t="e">
        <f>(1.015*PG+FH*TV)*1.005</f>
        <v>#DIV/0!</v>
      </c>
      <c r="AE19" s="56"/>
      <c r="AF19" s="23" t="s">
        <v>166</v>
      </c>
      <c r="AG19" s="5" t="s">
        <v>6</v>
      </c>
      <c r="AH19" s="32" t="e">
        <f>(1.015*PG+TV)*1.005</f>
        <v>#DIV/0!</v>
      </c>
      <c r="AI19" s="17"/>
      <c r="AJ19" s="17"/>
      <c r="AK19" s="17"/>
      <c r="AL19" s="17"/>
      <c r="AM19" s="17"/>
      <c r="AN19" s="17"/>
      <c r="AO19" s="17"/>
      <c r="AP19" s="17"/>
      <c r="AQ19" s="17"/>
      <c r="AR19" s="17"/>
      <c r="AS19" s="17"/>
      <c r="AT19" s="17"/>
      <c r="AU19" s="17"/>
      <c r="AV19" s="17"/>
    </row>
    <row r="20" spans="2:48" x14ac:dyDescent="0.25">
      <c r="B20" s="38" t="s">
        <v>125</v>
      </c>
      <c r="C20" s="25" t="s">
        <v>6</v>
      </c>
      <c r="D20" s="113"/>
      <c r="F20" s="50">
        <f>ROUND(0.05*GBL,2)</f>
        <v>0</v>
      </c>
      <c r="G20" s="17" t="s">
        <v>32</v>
      </c>
      <c r="H20" s="22">
        <f>ROUND(0.2*GBL,2)</f>
        <v>0</v>
      </c>
      <c r="K20" s="17"/>
      <c r="L20" s="18" t="s">
        <v>58</v>
      </c>
      <c r="M20" s="25" t="s">
        <v>6</v>
      </c>
      <c r="N20" s="122"/>
      <c r="O20" s="53"/>
      <c r="P20" s="26" t="s">
        <v>33</v>
      </c>
      <c r="Q20" s="25" t="s">
        <v>6</v>
      </c>
      <c r="R20" s="32">
        <f>ROUND((0.87+0.005*(L-11))*IZ,2)</f>
        <v>0</v>
      </c>
      <c r="S20" s="5"/>
      <c r="W20" s="17" t="s">
        <v>60</v>
      </c>
      <c r="X20" s="38" t="s">
        <v>6</v>
      </c>
      <c r="Y20" s="124"/>
      <c r="Z20" s="57"/>
      <c r="AA20" s="54"/>
      <c r="AB20" s="38" t="s">
        <v>40</v>
      </c>
      <c r="AC20" s="17" t="s">
        <v>6</v>
      </c>
      <c r="AD20" s="137" t="e">
        <f>PV+0.75*FVO*KL</f>
        <v>#DIV/0!</v>
      </c>
      <c r="AE20" s="45"/>
      <c r="AF20" s="5"/>
      <c r="AG20" s="17"/>
      <c r="AH20" s="22"/>
      <c r="AI20" s="25"/>
      <c r="AJ20" s="25"/>
      <c r="AK20" s="25"/>
      <c r="AL20" s="25"/>
      <c r="AM20" s="25"/>
      <c r="AN20" s="22"/>
      <c r="AO20" s="17"/>
      <c r="AP20" s="21"/>
      <c r="AQ20" s="17"/>
      <c r="AR20" s="17"/>
      <c r="AS20" s="17"/>
      <c r="AT20" s="17"/>
      <c r="AU20" s="17"/>
      <c r="AV20" s="17"/>
    </row>
    <row r="21" spans="2:48" x14ac:dyDescent="0.25">
      <c r="B21" s="38" t="s">
        <v>49</v>
      </c>
      <c r="C21" s="25" t="s">
        <v>6</v>
      </c>
      <c r="D21" s="115"/>
      <c r="F21" s="26" t="s">
        <v>33</v>
      </c>
      <c r="G21" s="17" t="s">
        <v>6</v>
      </c>
      <c r="H21" s="32">
        <f>ROUND(MAX(GVLmin1,GVLmin2),2)</f>
        <v>0</v>
      </c>
      <c r="K21" s="50"/>
      <c r="L21" s="18" t="s">
        <v>56</v>
      </c>
      <c r="M21" s="25" t="s">
        <v>6</v>
      </c>
      <c r="N21" s="122"/>
      <c r="O21" s="32"/>
      <c r="P21" s="143"/>
      <c r="Q21" s="58"/>
      <c r="R21" s="35"/>
      <c r="S21" s="5"/>
      <c r="X21" s="38"/>
      <c r="AA21" s="54"/>
      <c r="AB21" s="38" t="s">
        <v>62</v>
      </c>
      <c r="AC21" s="38" t="s">
        <v>6</v>
      </c>
      <c r="AD21" s="45" t="e">
        <f>(RV/3.8)^0.6</f>
        <v>#DIV/0!</v>
      </c>
      <c r="AE21" s="45"/>
      <c r="AF21" s="5"/>
      <c r="AG21" s="17"/>
      <c r="AH21" s="22"/>
      <c r="AI21" s="17"/>
      <c r="AJ21" s="17"/>
      <c r="AK21" s="17"/>
      <c r="AL21" s="17"/>
      <c r="AM21" s="17"/>
      <c r="AN21" s="17"/>
      <c r="AO21" s="17"/>
      <c r="AP21" s="17"/>
      <c r="AQ21" s="17"/>
      <c r="AR21" s="17"/>
      <c r="AS21" s="17"/>
      <c r="AT21" s="17"/>
      <c r="AU21" s="17"/>
      <c r="AV21" s="17"/>
    </row>
    <row r="22" spans="2:48" x14ac:dyDescent="0.25">
      <c r="B22" s="38" t="s">
        <v>52</v>
      </c>
      <c r="C22" s="25" t="s">
        <v>6</v>
      </c>
      <c r="D22" s="113"/>
      <c r="E22" s="17"/>
      <c r="F22" s="26" t="s">
        <v>33</v>
      </c>
      <c r="G22" s="18" t="s">
        <v>6</v>
      </c>
      <c r="H22" s="32">
        <f>+ROUND(GVL*0.54,2)</f>
        <v>0</v>
      </c>
      <c r="I22" s="17"/>
      <c r="K22" s="5"/>
      <c r="L22" s="18" t="s">
        <v>65</v>
      </c>
      <c r="N22" s="123"/>
      <c r="O22" s="22"/>
      <c r="P22" s="26" t="s">
        <v>158</v>
      </c>
      <c r="Q22" s="25" t="s">
        <v>6</v>
      </c>
      <c r="R22" s="32">
        <f>ROUND(0.025*FOL,2)</f>
        <v>0</v>
      </c>
      <c r="S22" s="5"/>
      <c r="U22" s="38"/>
      <c r="V22" s="38"/>
      <c r="W22" s="38"/>
      <c r="X22" s="38"/>
      <c r="AA22" s="54"/>
      <c r="AB22" s="17" t="s">
        <v>61</v>
      </c>
      <c r="AC22" s="38" t="s">
        <v>6</v>
      </c>
      <c r="AD22" s="137">
        <f>1/4*SQRT((FVL+FAL+FOL)*(-FVL+FAL+FOL)*(FVL-FAL+FOL)*(FVL+FAL-FOL))+1/2*(FAL*TP)</f>
        <v>0</v>
      </c>
      <c r="AE22" s="45"/>
      <c r="AF22" s="5"/>
      <c r="AG22" s="17"/>
      <c r="AH22" s="17"/>
      <c r="AI22" s="17"/>
      <c r="AJ22" s="17"/>
      <c r="AK22" s="17"/>
      <c r="AL22" s="17"/>
      <c r="AM22" s="17"/>
      <c r="AN22" s="17"/>
      <c r="AO22" s="17"/>
      <c r="AP22" s="17"/>
      <c r="AQ22" s="17"/>
      <c r="AR22" s="17"/>
      <c r="AS22" s="17"/>
      <c r="AT22" s="17"/>
      <c r="AU22" s="17"/>
      <c r="AV22" s="17"/>
    </row>
    <row r="23" spans="2:48" x14ac:dyDescent="0.25">
      <c r="B23" s="38" t="s">
        <v>63</v>
      </c>
      <c r="C23" s="25" t="s">
        <v>6</v>
      </c>
      <c r="D23" s="115"/>
      <c r="E23" s="17"/>
      <c r="F23" s="17"/>
      <c r="G23" s="18"/>
      <c r="H23" s="17"/>
      <c r="I23" s="17"/>
      <c r="P23" s="144"/>
      <c r="Q23" s="5"/>
      <c r="R23" s="22"/>
      <c r="S23" s="17"/>
      <c r="T23" s="17"/>
      <c r="U23" s="38"/>
      <c r="V23" s="38"/>
      <c r="W23" s="38"/>
      <c r="X23" s="38"/>
      <c r="AA23" s="54"/>
      <c r="AB23" s="38" t="s">
        <v>54</v>
      </c>
      <c r="AC23" s="25" t="s">
        <v>6</v>
      </c>
      <c r="AD23" s="30">
        <f>KL</f>
        <v>0</v>
      </c>
      <c r="AE23" s="59"/>
      <c r="AF23" s="5"/>
      <c r="AG23" s="17"/>
      <c r="AH23" s="17"/>
      <c r="AI23" s="25"/>
      <c r="AJ23" s="25"/>
      <c r="AK23" s="25"/>
      <c r="AL23" s="25"/>
      <c r="AM23" s="25"/>
      <c r="AN23" s="22"/>
      <c r="AO23" s="17"/>
      <c r="AP23" s="17"/>
      <c r="AQ23" s="17"/>
      <c r="AR23" s="17"/>
      <c r="AS23" s="17"/>
      <c r="AT23" s="17"/>
      <c r="AU23" s="17"/>
      <c r="AV23" s="17"/>
    </row>
    <row r="24" spans="2:48" x14ac:dyDescent="0.25">
      <c r="B24" s="38" t="s">
        <v>50</v>
      </c>
      <c r="C24" s="25" t="s">
        <v>6</v>
      </c>
      <c r="D24" s="113"/>
      <c r="E24" s="17"/>
      <c r="F24" s="17"/>
      <c r="G24" s="18"/>
      <c r="H24" s="17"/>
      <c r="I24" s="17"/>
      <c r="L24" s="60" t="s">
        <v>165</v>
      </c>
      <c r="P24" s="144"/>
      <c r="Q24" s="5"/>
      <c r="R24" s="22"/>
      <c r="S24" s="17"/>
      <c r="U24" s="38"/>
      <c r="V24" s="38"/>
      <c r="W24" s="38"/>
      <c r="X24" s="38"/>
      <c r="AA24" s="54"/>
      <c r="AB24" s="17" t="s">
        <v>21</v>
      </c>
      <c r="AC24" s="25" t="s">
        <v>6</v>
      </c>
      <c r="AD24" s="61" t="e">
        <f>LE*FZD*FZV*FZN*FS*FRV</f>
        <v>#DIV/0!</v>
      </c>
      <c r="AE24" s="61"/>
      <c r="AF24" s="5"/>
      <c r="AG24" s="17"/>
      <c r="AH24" s="17"/>
      <c r="AI24" s="25"/>
      <c r="AJ24" s="25"/>
      <c r="AK24" s="25"/>
      <c r="AL24" s="25"/>
      <c r="AM24" s="25"/>
      <c r="AN24" s="22"/>
      <c r="AO24" s="17"/>
      <c r="AP24" s="17"/>
      <c r="AQ24" s="17"/>
      <c r="AR24" s="17"/>
      <c r="AS24" s="17"/>
      <c r="AT24" s="17"/>
      <c r="AU24" s="17"/>
      <c r="AV24" s="17"/>
    </row>
    <row r="25" spans="2:48" x14ac:dyDescent="0.25">
      <c r="B25" s="38" t="s">
        <v>48</v>
      </c>
      <c r="C25" s="25" t="s">
        <v>6</v>
      </c>
      <c r="D25" s="113"/>
      <c r="E25" s="17"/>
      <c r="F25" s="17"/>
      <c r="G25" s="18"/>
      <c r="H25" s="17"/>
      <c r="I25" s="17"/>
      <c r="L25" s="62" t="s">
        <v>68</v>
      </c>
      <c r="M25" s="25" t="s">
        <v>6</v>
      </c>
      <c r="N25" s="121"/>
      <c r="O25" s="22"/>
      <c r="P25" s="26" t="s">
        <v>158</v>
      </c>
      <c r="Q25" s="25" t="s">
        <v>6</v>
      </c>
      <c r="R25" s="32">
        <f>ROUND(0.94*SQRT((1.17*IZ)^2+(J+KLB)^2),2)</f>
        <v>0</v>
      </c>
      <c r="S25" s="5"/>
      <c r="U25" s="38"/>
      <c r="V25" s="38"/>
      <c r="W25" s="38"/>
      <c r="X25" s="38"/>
      <c r="AA25" s="54"/>
      <c r="AB25" s="18" t="s">
        <v>12</v>
      </c>
      <c r="AC25" s="63" t="s">
        <v>6</v>
      </c>
      <c r="AD25" s="64" t="e">
        <f>(GOZ*7*HA)/RM</f>
        <v>#DIV/0!</v>
      </c>
      <c r="AE25" s="64"/>
      <c r="AF25" s="5"/>
      <c r="AG25" s="17"/>
      <c r="AH25" s="17"/>
      <c r="AI25" s="25"/>
      <c r="AJ25" s="25"/>
      <c r="AK25" s="25"/>
      <c r="AL25" s="25"/>
      <c r="AM25" s="25"/>
      <c r="AN25" s="22"/>
      <c r="AO25" s="17"/>
      <c r="AP25" s="17"/>
      <c r="AQ25" s="17"/>
      <c r="AR25" s="17"/>
      <c r="AS25" s="17"/>
      <c r="AT25" s="17"/>
      <c r="AU25" s="17"/>
      <c r="AV25" s="17"/>
    </row>
    <row r="26" spans="2:48" x14ac:dyDescent="0.25">
      <c r="B26" s="38" t="s">
        <v>64</v>
      </c>
      <c r="C26" s="25" t="s">
        <v>6</v>
      </c>
      <c r="D26" s="115"/>
      <c r="E26" s="17"/>
      <c r="F26" s="17"/>
      <c r="G26" s="18"/>
      <c r="H26" s="17"/>
      <c r="I26" s="17"/>
      <c r="L26" s="62" t="s">
        <v>66</v>
      </c>
      <c r="M26" s="25" t="s">
        <v>6</v>
      </c>
      <c r="N26" s="121"/>
      <c r="O26" s="22"/>
      <c r="P26" s="26" t="s">
        <v>158</v>
      </c>
      <c r="Q26" s="25" t="s">
        <v>6</v>
      </c>
      <c r="R26" s="32">
        <f>ROUND(1.5*(KLB+J),2)</f>
        <v>0</v>
      </c>
      <c r="S26" s="5"/>
      <c r="U26" s="38"/>
      <c r="V26" s="38"/>
      <c r="W26" s="38"/>
      <c r="X26" s="38"/>
      <c r="AA26" s="54"/>
      <c r="AB26" s="18" t="s">
        <v>25</v>
      </c>
      <c r="AC26" s="63" t="s">
        <v>6</v>
      </c>
      <c r="AD26" s="161" t="e">
        <f>1-(CS*DS)/(0.05*LWL)</f>
        <v>#DIV/0!</v>
      </c>
      <c r="AE26" s="64"/>
      <c r="AF26" s="5"/>
      <c r="AG26" s="29"/>
      <c r="AH26" s="17"/>
      <c r="AI26" s="17"/>
      <c r="AJ26" s="17"/>
      <c r="AK26" s="17"/>
      <c r="AL26" s="17"/>
      <c r="AM26" s="17"/>
      <c r="AN26" s="17"/>
      <c r="AO26" s="17"/>
      <c r="AP26" s="17"/>
      <c r="AQ26" s="17"/>
      <c r="AR26" s="17"/>
      <c r="AS26" s="17"/>
      <c r="AT26" s="17"/>
      <c r="AU26" s="17"/>
      <c r="AV26" s="17"/>
    </row>
    <row r="27" spans="2:48" x14ac:dyDescent="0.25">
      <c r="B27" s="38" t="s">
        <v>44</v>
      </c>
      <c r="C27" s="25" t="s">
        <v>6</v>
      </c>
      <c r="D27" s="50">
        <f>MAX(MGK,MGT)</f>
        <v>0</v>
      </c>
      <c r="E27" s="22"/>
      <c r="F27" s="22"/>
      <c r="G27" s="46"/>
      <c r="H27" s="22"/>
      <c r="I27" s="57"/>
      <c r="L27" s="62" t="s">
        <v>67</v>
      </c>
      <c r="M27" s="25" t="s">
        <v>6</v>
      </c>
      <c r="N27" s="123"/>
      <c r="O27" s="22"/>
      <c r="P27" s="30">
        <f>ROUND(0.55*HOL,2)</f>
        <v>0</v>
      </c>
      <c r="Q27" s="17" t="s">
        <v>32</v>
      </c>
      <c r="R27" s="32">
        <f>ROUND(0.7*HOL,2)</f>
        <v>0</v>
      </c>
      <c r="S27" s="5"/>
      <c r="U27" s="38"/>
      <c r="V27" s="38"/>
      <c r="W27" s="38"/>
      <c r="X27" s="38"/>
      <c r="AA27" s="54"/>
      <c r="AB27" s="18" t="s">
        <v>16</v>
      </c>
      <c r="AC27" s="63" t="s">
        <v>6</v>
      </c>
      <c r="AD27" s="45">
        <f>(1.75*LWL+LR)/2.75</f>
        <v>0</v>
      </c>
      <c r="AE27" s="45"/>
      <c r="AF27" s="5"/>
      <c r="AG27" s="29"/>
      <c r="AH27" s="17"/>
      <c r="AI27" s="17"/>
      <c r="AJ27" s="17"/>
      <c r="AK27" s="17"/>
      <c r="AL27" s="17"/>
      <c r="AM27" s="17"/>
      <c r="AN27" s="17"/>
      <c r="AO27" s="17"/>
      <c r="AP27" s="17"/>
      <c r="AQ27" s="17"/>
      <c r="AR27" s="17"/>
      <c r="AS27" s="17"/>
      <c r="AT27" s="17"/>
      <c r="AU27" s="17"/>
      <c r="AV27" s="17"/>
    </row>
    <row r="28" spans="2:48" x14ac:dyDescent="0.25">
      <c r="B28" s="17" t="s">
        <v>42</v>
      </c>
      <c r="C28" s="25" t="s">
        <v>6</v>
      </c>
      <c r="D28" s="59" t="e">
        <f>(RG/3.4)^0.8</f>
        <v>#DIV/0!</v>
      </c>
      <c r="E28" s="22"/>
      <c r="F28" s="22"/>
      <c r="G28" s="46"/>
      <c r="H28" s="22"/>
      <c r="I28" s="57"/>
      <c r="S28" s="5"/>
      <c r="U28" s="38"/>
      <c r="V28" s="38"/>
      <c r="W28" s="38"/>
      <c r="X28" s="38"/>
      <c r="AA28" s="54"/>
      <c r="AB28" s="65" t="s">
        <v>258</v>
      </c>
      <c r="AC28" s="25" t="s">
        <v>6</v>
      </c>
      <c r="AD28" s="125"/>
      <c r="AE28" s="66"/>
      <c r="AF28" s="17"/>
      <c r="AG28" s="29"/>
      <c r="AH28" s="17"/>
      <c r="AI28" s="17"/>
      <c r="AJ28" s="17"/>
      <c r="AK28" s="17"/>
      <c r="AL28" s="17"/>
      <c r="AM28" s="17"/>
      <c r="AN28" s="17"/>
      <c r="AO28" s="17"/>
      <c r="AP28" s="17"/>
      <c r="AQ28" s="17"/>
      <c r="AR28" s="17"/>
      <c r="AS28" s="17"/>
      <c r="AT28" s="17"/>
      <c r="AU28" s="17"/>
      <c r="AV28" s="17"/>
    </row>
    <row r="29" spans="2:48" x14ac:dyDescent="0.25">
      <c r="B29" s="17" t="s">
        <v>38</v>
      </c>
      <c r="C29" s="25" t="s">
        <v>6</v>
      </c>
      <c r="D29" s="50" t="e">
        <f>FG*FGO*MG</f>
        <v>#DIV/0!</v>
      </c>
      <c r="E29" s="22"/>
      <c r="F29" s="22"/>
      <c r="G29" s="46"/>
      <c r="H29" s="22"/>
      <c r="I29" s="57"/>
      <c r="L29" s="16" t="s">
        <v>167</v>
      </c>
      <c r="M29" s="17"/>
      <c r="N29" s="17"/>
      <c r="O29" s="17"/>
      <c r="P29" s="17"/>
      <c r="Q29" s="17"/>
      <c r="R29" s="22"/>
      <c r="S29" s="5"/>
      <c r="U29" s="38"/>
      <c r="V29" s="38"/>
      <c r="W29" s="38"/>
      <c r="X29" s="38"/>
      <c r="AA29" s="54"/>
      <c r="AB29" s="17" t="s">
        <v>259</v>
      </c>
      <c r="AC29" s="63" t="s">
        <v>6</v>
      </c>
      <c r="AD29" s="125"/>
      <c r="AE29" s="67"/>
      <c r="AF29" s="163"/>
      <c r="AG29" s="29"/>
      <c r="AH29" s="17"/>
      <c r="AI29" s="17"/>
      <c r="AJ29" s="17"/>
      <c r="AK29" s="17"/>
      <c r="AL29" s="17"/>
      <c r="AM29" s="17"/>
      <c r="AN29" s="17"/>
      <c r="AO29" s="17"/>
      <c r="AP29" s="17"/>
      <c r="AQ29" s="17"/>
      <c r="AR29" s="17"/>
      <c r="AS29" s="17"/>
      <c r="AT29" s="17"/>
      <c r="AU29" s="17"/>
      <c r="AV29" s="17"/>
    </row>
    <row r="30" spans="2:48" s="4" customFormat="1" x14ac:dyDescent="0.25">
      <c r="B30" s="25" t="s">
        <v>29</v>
      </c>
      <c r="C30" s="25" t="s">
        <v>6</v>
      </c>
      <c r="D30" s="50" t="e">
        <f>+(ATAN(-S / SQRT(-S * S + 1)) + 2 * ATAN(1))*(180 / PI())</f>
        <v>#DIV/0!</v>
      </c>
      <c r="E30" s="25"/>
      <c r="F30" s="25"/>
      <c r="G30" s="63"/>
      <c r="H30" s="57"/>
      <c r="J30" s="62"/>
      <c r="K30" s="62"/>
      <c r="L30" s="18" t="s">
        <v>123</v>
      </c>
      <c r="M30" s="18" t="s">
        <v>6</v>
      </c>
      <c r="N30" s="123"/>
      <c r="O30" s="22"/>
      <c r="P30" s="26" t="s">
        <v>158</v>
      </c>
      <c r="Q30" s="25" t="s">
        <v>6</v>
      </c>
      <c r="R30" s="32">
        <f>ROUND(MG/3,2)</f>
        <v>0</v>
      </c>
      <c r="S30" s="68"/>
      <c r="U30" s="63"/>
      <c r="V30" s="63"/>
      <c r="W30" s="63"/>
      <c r="X30" s="63"/>
      <c r="Y30" s="29"/>
      <c r="Z30" s="29"/>
      <c r="AA30" s="69"/>
      <c r="AB30" s="17" t="s">
        <v>260</v>
      </c>
      <c r="AC30" s="63" t="s">
        <v>6</v>
      </c>
      <c r="AD30" s="125"/>
      <c r="AE30" s="66"/>
      <c r="AF30" s="163"/>
      <c r="AG30" s="29"/>
      <c r="AH30" s="18"/>
      <c r="AI30" s="18"/>
      <c r="AJ30" s="18"/>
      <c r="AK30" s="18"/>
      <c r="AL30" s="18"/>
      <c r="AM30" s="18"/>
      <c r="AN30" s="18"/>
      <c r="AO30" s="18"/>
      <c r="AP30" s="18"/>
      <c r="AQ30" s="18"/>
      <c r="AR30" s="18"/>
      <c r="AS30" s="18"/>
      <c r="AT30" s="18"/>
      <c r="AU30" s="18"/>
      <c r="AV30" s="18"/>
    </row>
    <row r="31" spans="2:48" s="4" customFormat="1" x14ac:dyDescent="0.25">
      <c r="C31" s="25"/>
      <c r="D31" s="25"/>
      <c r="E31" s="25"/>
      <c r="F31" s="25"/>
      <c r="G31" s="63"/>
      <c r="H31" s="57"/>
      <c r="J31" s="62"/>
      <c r="K31" s="62"/>
      <c r="L31" s="18"/>
      <c r="M31" s="18"/>
      <c r="N31" s="22"/>
      <c r="O31" s="22"/>
      <c r="P31" s="21"/>
      <c r="Q31" s="25"/>
      <c r="R31" s="70"/>
      <c r="U31" s="63"/>
      <c r="V31" s="63"/>
      <c r="W31" s="63"/>
      <c r="X31" s="63"/>
      <c r="Y31" s="29"/>
      <c r="Z31" s="29"/>
      <c r="AA31" s="69"/>
      <c r="AB31" s="71" t="s">
        <v>261</v>
      </c>
      <c r="AC31" s="72" t="s">
        <v>6</v>
      </c>
      <c r="AD31" s="125"/>
      <c r="AE31" s="66"/>
      <c r="AF31" s="163"/>
      <c r="AG31" s="29"/>
      <c r="AH31" s="18"/>
      <c r="AI31" s="18"/>
      <c r="AJ31" s="18"/>
      <c r="AK31" s="18"/>
      <c r="AL31" s="18"/>
      <c r="AM31" s="18"/>
      <c r="AN31" s="18"/>
      <c r="AO31" s="18"/>
      <c r="AP31" s="18"/>
      <c r="AQ31" s="18"/>
      <c r="AR31" s="18"/>
      <c r="AS31" s="18"/>
      <c r="AT31" s="18"/>
      <c r="AU31" s="18"/>
      <c r="AV31" s="18"/>
    </row>
    <row r="32" spans="2:48" ht="9" customHeight="1" thickBot="1" x14ac:dyDescent="0.3">
      <c r="B32" s="73"/>
      <c r="C32" s="73"/>
      <c r="D32" s="11"/>
      <c r="E32" s="73"/>
      <c r="F32" s="73"/>
      <c r="G32" s="73"/>
      <c r="H32" s="73"/>
      <c r="I32" s="73"/>
      <c r="J32" s="73"/>
      <c r="K32" s="73"/>
      <c r="L32" s="73"/>
      <c r="M32" s="73"/>
      <c r="N32" s="73"/>
      <c r="O32" s="73"/>
      <c r="P32" s="11"/>
      <c r="Q32" s="11"/>
      <c r="R32" s="11"/>
      <c r="S32" s="11"/>
      <c r="T32" s="41"/>
      <c r="U32" s="43"/>
      <c r="V32" s="43"/>
      <c r="W32" s="43"/>
      <c r="X32" s="43"/>
      <c r="Y32" s="74"/>
      <c r="Z32" s="74"/>
      <c r="AA32" s="43"/>
      <c r="AB32" s="41"/>
      <c r="AC32" s="41"/>
      <c r="AD32" s="41"/>
      <c r="AE32" s="75"/>
      <c r="AF32" s="76"/>
      <c r="AG32" s="74"/>
      <c r="AH32" s="11"/>
      <c r="AI32" s="22"/>
      <c r="AJ32" s="22"/>
      <c r="AK32" s="22"/>
      <c r="AL32" s="22"/>
      <c r="AM32" s="22"/>
      <c r="AN32" s="22"/>
      <c r="AO32" s="17"/>
      <c r="AP32" s="21"/>
      <c r="AQ32" s="50"/>
      <c r="AR32" s="17"/>
      <c r="AS32" s="17"/>
      <c r="AT32" s="17"/>
      <c r="AU32" s="17"/>
      <c r="AV32" s="17"/>
    </row>
    <row r="33" spans="2:50" ht="30.95" customHeight="1" x14ac:dyDescent="0.25">
      <c r="B33" s="159" t="s">
        <v>256</v>
      </c>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22"/>
      <c r="AJ33" s="22"/>
      <c r="AK33" s="22"/>
      <c r="AL33" s="22"/>
      <c r="AM33" s="22"/>
      <c r="AN33" s="22"/>
      <c r="AO33" s="17"/>
      <c r="AP33" s="21"/>
      <c r="AQ33" s="50"/>
      <c r="AR33" s="17"/>
      <c r="AS33" s="17"/>
      <c r="AT33" s="17"/>
      <c r="AU33" s="17"/>
      <c r="AV33" s="17"/>
    </row>
    <row r="34" spans="2:50" x14ac:dyDescent="0.25">
      <c r="B34" s="60" t="s">
        <v>190</v>
      </c>
      <c r="E34" s="60"/>
      <c r="F34" s="60"/>
      <c r="G34" s="60"/>
      <c r="H34" s="60"/>
      <c r="N34" s="38"/>
      <c r="O34" s="17"/>
      <c r="P34" s="38"/>
      <c r="Q34" s="38"/>
      <c r="R34" s="38"/>
      <c r="S34" s="38"/>
      <c r="T34" s="38"/>
      <c r="U34" s="38"/>
      <c r="V34" s="38"/>
      <c r="W34" s="17"/>
      <c r="X34" s="17"/>
      <c r="Y34" s="17"/>
      <c r="Z34" s="17"/>
      <c r="AA34" s="17"/>
      <c r="AI34" s="78"/>
      <c r="AJ34" s="78"/>
      <c r="AK34" s="78"/>
      <c r="AX34" s="79"/>
    </row>
    <row r="35" spans="2:50" ht="15.75" customHeight="1" x14ac:dyDescent="0.3">
      <c r="J35" s="16"/>
      <c r="K35" s="16"/>
      <c r="L35" s="154" t="s">
        <v>152</v>
      </c>
      <c r="M35" s="155"/>
      <c r="N35" s="155"/>
      <c r="O35" s="80"/>
      <c r="P35" s="38"/>
      <c r="R35" s="154" t="s">
        <v>127</v>
      </c>
      <c r="S35" s="155"/>
      <c r="T35" s="155"/>
      <c r="W35" s="154" t="s">
        <v>130</v>
      </c>
      <c r="X35" s="155"/>
      <c r="Y35" s="155"/>
      <c r="Z35" s="17"/>
      <c r="AB35" s="154" t="s">
        <v>168</v>
      </c>
      <c r="AC35" s="155"/>
      <c r="AD35" s="155"/>
      <c r="AE35" s="81"/>
      <c r="AL35" s="81"/>
      <c r="AX35" s="82"/>
    </row>
    <row r="36" spans="2:50" x14ac:dyDescent="0.25">
      <c r="B36" s="38" t="s">
        <v>119</v>
      </c>
      <c r="C36" s="17" t="s">
        <v>6</v>
      </c>
      <c r="D36" s="17">
        <f>1.01*SQRT(GDK^2-GOL^2)</f>
        <v>0</v>
      </c>
      <c r="J36" s="16"/>
      <c r="K36" s="16"/>
      <c r="L36" s="16" t="s">
        <v>16</v>
      </c>
      <c r="M36" s="17" t="s">
        <v>6</v>
      </c>
      <c r="N36" s="83">
        <f>LE</f>
        <v>0</v>
      </c>
      <c r="O36" s="45"/>
      <c r="P36" s="5"/>
      <c r="Q36" s="16"/>
      <c r="R36" s="16" t="s">
        <v>128</v>
      </c>
      <c r="S36" s="17" t="s">
        <v>6</v>
      </c>
      <c r="T36" s="67">
        <f>(3*LWL+LR)/4</f>
        <v>0</v>
      </c>
      <c r="U36" s="5"/>
      <c r="V36" s="5"/>
      <c r="W36" s="16" t="s">
        <v>131</v>
      </c>
      <c r="X36" s="17" t="s">
        <v>6</v>
      </c>
      <c r="Y36" s="67">
        <f>(1.75*LWL+LR)/2.75</f>
        <v>0</v>
      </c>
      <c r="Z36" s="17"/>
      <c r="AA36" s="16"/>
      <c r="AB36" s="16" t="s">
        <v>147</v>
      </c>
      <c r="AC36" s="17" t="s">
        <v>6</v>
      </c>
      <c r="AD36" s="84">
        <f>(LWL+1.5*LR)/2.5</f>
        <v>0</v>
      </c>
      <c r="AE36" s="67"/>
      <c r="AH36" s="78"/>
      <c r="AI36" s="16"/>
      <c r="AX36" s="82"/>
    </row>
    <row r="37" spans="2:50" x14ac:dyDescent="0.25">
      <c r="B37" s="17" t="s">
        <v>53</v>
      </c>
      <c r="C37" s="38" t="s">
        <v>6</v>
      </c>
      <c r="D37" s="85">
        <f>(0.375+0.005*(L-11))*IZ</f>
        <v>0</v>
      </c>
      <c r="J37" s="86"/>
      <c r="K37" s="86"/>
      <c r="L37" s="68"/>
      <c r="M37" s="17"/>
      <c r="N37" s="5"/>
      <c r="P37" s="5"/>
      <c r="Q37" s="16"/>
      <c r="R37" s="17"/>
      <c r="S37" s="17"/>
      <c r="T37" s="17"/>
      <c r="U37" s="5"/>
      <c r="V37" s="5"/>
      <c r="W37" s="17"/>
      <c r="X37" s="17"/>
      <c r="Y37" s="17"/>
      <c r="Z37" s="17"/>
      <c r="AA37" s="16"/>
      <c r="AB37" s="17"/>
      <c r="AC37" s="17"/>
      <c r="AD37" s="17"/>
      <c r="AE37" s="17"/>
      <c r="AI37" s="16"/>
      <c r="AX37" s="82"/>
    </row>
    <row r="38" spans="2:50" x14ac:dyDescent="0.25">
      <c r="B38" s="17" t="s">
        <v>81</v>
      </c>
      <c r="C38" s="38" t="s">
        <v>6</v>
      </c>
      <c r="D38" s="50">
        <f>(0.87+0.005*(L-11))*IZ</f>
        <v>0</v>
      </c>
      <c r="J38" s="16"/>
      <c r="K38" s="17"/>
      <c r="L38" s="16" t="s">
        <v>34</v>
      </c>
      <c r="M38" s="17" t="s">
        <v>6</v>
      </c>
      <c r="N38" s="77" t="e">
        <f>1-(0.03791*(ZD-ZDS)^2)+(0.2139*(ZD-ZDS))</f>
        <v>#DIV/0!</v>
      </c>
      <c r="P38" s="5"/>
      <c r="Q38" s="16"/>
      <c r="R38" s="16" t="s">
        <v>92</v>
      </c>
      <c r="S38" s="17" t="s">
        <v>6</v>
      </c>
      <c r="T38" s="67" t="e">
        <f>1-0.0596*(ZDL-ZDSL)^2+0.2005*(ZDL-ZDSL)</f>
        <v>#DIV/0!</v>
      </c>
      <c r="U38" s="5"/>
      <c r="V38" s="5"/>
      <c r="W38" s="16" t="s">
        <v>98</v>
      </c>
      <c r="X38" s="17" t="s">
        <v>6</v>
      </c>
      <c r="Y38" s="84" t="e">
        <f>1-0.07017*(ZDM-ZDSM)^2+0.1809*(ZDM-ZDSM)</f>
        <v>#DIV/0!</v>
      </c>
      <c r="Z38" s="17"/>
      <c r="AA38" s="16"/>
      <c r="AB38" s="16" t="s">
        <v>107</v>
      </c>
      <c r="AC38" s="17" t="s">
        <v>6</v>
      </c>
      <c r="AD38" s="84" t="e">
        <f>1-0.04895*(ZDZ-ZDSZ)^2+0.1267*(ZDZ-ZDSZ)</f>
        <v>#DIV/0!</v>
      </c>
      <c r="AE38" s="84"/>
      <c r="AI38" s="16"/>
    </row>
    <row r="39" spans="2:50" x14ac:dyDescent="0.25">
      <c r="B39" s="17" t="s">
        <v>115</v>
      </c>
      <c r="C39" s="17" t="s">
        <v>6</v>
      </c>
      <c r="D39" s="85" t="e">
        <f>LWL/DC^(1/3)</f>
        <v>#DIV/0!</v>
      </c>
      <c r="J39" s="17"/>
      <c r="K39" s="17"/>
      <c r="L39" s="18" t="s">
        <v>35</v>
      </c>
      <c r="M39" s="17" t="s">
        <v>6</v>
      </c>
      <c r="N39" s="87" t="e">
        <f>SQRT(OZ)/(D^(1/3))</f>
        <v>#DIV/0!</v>
      </c>
      <c r="O39" s="87"/>
      <c r="P39" s="5"/>
      <c r="Q39" s="16"/>
      <c r="R39" s="17" t="s">
        <v>148</v>
      </c>
      <c r="S39" s="17" t="s">
        <v>6</v>
      </c>
      <c r="T39" s="88" t="e">
        <f>SQRT(OZL)/(D^(1/3))</f>
        <v>#DIV/0!</v>
      </c>
      <c r="U39" s="5"/>
      <c r="V39" s="5"/>
      <c r="W39" s="17" t="s">
        <v>150</v>
      </c>
      <c r="X39" s="17" t="s">
        <v>6</v>
      </c>
      <c r="Y39" s="88" t="e">
        <f>SQRT(OZM)/(D^(1/3))</f>
        <v>#DIV/0!</v>
      </c>
      <c r="Z39" s="17"/>
      <c r="AA39" s="16"/>
      <c r="AB39" s="17" t="s">
        <v>151</v>
      </c>
      <c r="AC39" s="17" t="s">
        <v>6</v>
      </c>
      <c r="AD39" s="88" t="e">
        <f>SQRT(OZZ)/(D^(1/3))</f>
        <v>#DIV/0!</v>
      </c>
      <c r="AE39" s="88"/>
      <c r="AI39" s="16"/>
      <c r="AX39" s="82"/>
    </row>
    <row r="40" spans="2:50" x14ac:dyDescent="0.25">
      <c r="B40" s="17" t="s">
        <v>73</v>
      </c>
      <c r="C40" s="38" t="s">
        <v>6</v>
      </c>
      <c r="D40" s="85">
        <f>-(0.012*L^2)+(0.393*L)+1.012</f>
        <v>1.012</v>
      </c>
      <c r="H40" s="60"/>
      <c r="K40" s="16"/>
      <c r="L40" s="18" t="s">
        <v>36</v>
      </c>
      <c r="M40" s="17" t="s">
        <v>6</v>
      </c>
      <c r="N40" s="21">
        <v>4.2569999999999997</v>
      </c>
      <c r="O40" s="30"/>
      <c r="P40" s="5"/>
      <c r="Q40" s="16"/>
      <c r="R40" s="17" t="s">
        <v>93</v>
      </c>
      <c r="S40" s="17" t="s">
        <v>6</v>
      </c>
      <c r="T40" s="25">
        <v>4.24</v>
      </c>
      <c r="U40" s="5"/>
      <c r="V40" s="5"/>
      <c r="W40" s="17" t="s">
        <v>99</v>
      </c>
      <c r="X40" s="17" t="s">
        <v>6</v>
      </c>
      <c r="Y40" s="17">
        <v>4.2249999999999996</v>
      </c>
      <c r="Z40" s="17"/>
      <c r="AA40" s="16"/>
      <c r="AB40" s="17" t="s">
        <v>106</v>
      </c>
      <c r="AC40" s="17" t="s">
        <v>6</v>
      </c>
      <c r="AD40" s="25">
        <v>4.2300000000000004</v>
      </c>
      <c r="AE40" s="17"/>
      <c r="AI40" s="16"/>
      <c r="AX40" s="82"/>
    </row>
    <row r="41" spans="2:50" x14ac:dyDescent="0.25">
      <c r="B41" s="38" t="s">
        <v>41</v>
      </c>
      <c r="C41" s="38" t="s">
        <v>6</v>
      </c>
      <c r="D41" s="17" t="e">
        <f>IF(SLGeen&lt;SLGmin,(LWL/SLGmin)^3,DC)</f>
        <v>#DIV/0!</v>
      </c>
      <c r="I41" s="38"/>
      <c r="J41" s="86"/>
      <c r="K41" s="86"/>
      <c r="M41" s="17"/>
      <c r="N41" s="5"/>
      <c r="O41" s="87"/>
      <c r="P41" s="5"/>
      <c r="Q41" s="16"/>
      <c r="R41" s="17"/>
      <c r="S41" s="17"/>
      <c r="T41" s="17"/>
      <c r="U41" s="5"/>
      <c r="V41" s="5"/>
      <c r="W41" s="17"/>
      <c r="X41" s="17"/>
      <c r="Y41" s="17"/>
      <c r="Z41" s="17"/>
      <c r="AA41" s="16"/>
      <c r="AB41" s="17"/>
      <c r="AC41" s="17"/>
      <c r="AD41" s="17"/>
      <c r="AE41" s="17"/>
      <c r="AH41" s="89"/>
      <c r="AI41" s="16"/>
    </row>
    <row r="42" spans="2:50" x14ac:dyDescent="0.25">
      <c r="B42" s="17" t="s">
        <v>118</v>
      </c>
      <c r="C42" s="38" t="s">
        <v>6</v>
      </c>
      <c r="D42" s="82" t="e">
        <f>RM/(DC*1000*TAN(1*PI()/180))</f>
        <v>#DIV/0!</v>
      </c>
      <c r="I42" s="38"/>
      <c r="J42" s="16"/>
      <c r="K42" s="17"/>
      <c r="L42" s="90" t="s">
        <v>84</v>
      </c>
      <c r="M42" s="17" t="s">
        <v>6</v>
      </c>
      <c r="N42" s="91" t="e">
        <f>1-0.000115*(TH-THS)^2-0.006257*(TH-THS)</f>
        <v>#DIV/0!</v>
      </c>
      <c r="O42" s="21"/>
      <c r="P42" s="5"/>
      <c r="Q42" s="16"/>
      <c r="R42" s="16" t="s">
        <v>94</v>
      </c>
      <c r="S42" s="17" t="s">
        <v>6</v>
      </c>
      <c r="T42" s="92" t="e">
        <f>1-0.000433*(THL-THSL)^2-0.00423*(THL-THSL)</f>
        <v>#DIV/0!</v>
      </c>
      <c r="U42" s="5"/>
      <c r="V42" s="5"/>
      <c r="W42" s="16" t="s">
        <v>100</v>
      </c>
      <c r="X42" s="17" t="s">
        <v>6</v>
      </c>
      <c r="Y42" s="66" t="e">
        <f>1-0.000317*(THM-THSM)^2-0.007139*(THM-THSM)</f>
        <v>#DIV/0!</v>
      </c>
      <c r="Z42" s="17"/>
      <c r="AA42" s="16"/>
      <c r="AB42" s="16" t="s">
        <v>108</v>
      </c>
      <c r="AC42" s="17" t="s">
        <v>6</v>
      </c>
      <c r="AD42" s="66" t="e">
        <f>1-0.000132*(THZ-THSZ)^2-0.011418*(THZ-THSZ)</f>
        <v>#DIV/0!</v>
      </c>
      <c r="AE42" s="66"/>
      <c r="AH42" s="89"/>
      <c r="AI42" s="16"/>
      <c r="AX42" s="82"/>
    </row>
    <row r="43" spans="2:50" x14ac:dyDescent="0.25">
      <c r="B43" s="38" t="s">
        <v>121</v>
      </c>
      <c r="C43" s="17" t="s">
        <v>6</v>
      </c>
      <c r="D43" s="50">
        <f>(2/3)*(GOL*GPO+GBL*GPB)+(1/4)*(SQRT((GVL+GOL+GDK)*(-GVL+GOL+GDK)*(GVL-GOL+GDK)*(GVL+GOL-GDK))+SQRT((GBL+GAL+GDK)*(-GBL+GAL+GDK)*(GBL-GAL+GDK)*(GBL+GAL-GDK)))</f>
        <v>0</v>
      </c>
      <c r="I43" s="38"/>
      <c r="J43" s="17"/>
      <c r="K43" s="17"/>
      <c r="L43" s="18" t="s">
        <v>12</v>
      </c>
      <c r="M43" s="17" t="s">
        <v>6</v>
      </c>
      <c r="N43" s="30" t="e">
        <f>TH</f>
        <v>#DIV/0!</v>
      </c>
      <c r="O43" s="93"/>
      <c r="P43" s="5"/>
      <c r="Q43" s="16"/>
      <c r="R43" s="17" t="s">
        <v>129</v>
      </c>
      <c r="S43" s="17" t="s">
        <v>6</v>
      </c>
      <c r="T43" s="88" t="e">
        <f>(GOZ*3*HA)/RM</f>
        <v>#DIV/0!</v>
      </c>
      <c r="U43" s="5"/>
      <c r="V43" s="5"/>
      <c r="W43" s="17" t="s">
        <v>132</v>
      </c>
      <c r="X43" s="17" t="s">
        <v>6</v>
      </c>
      <c r="Y43" s="88" t="e">
        <f>(GOZ*6*HA)/RM</f>
        <v>#DIV/0!</v>
      </c>
      <c r="Z43" s="17"/>
      <c r="AA43" s="16"/>
      <c r="AB43" s="17" t="s">
        <v>133</v>
      </c>
      <c r="AC43" s="17" t="s">
        <v>6</v>
      </c>
      <c r="AD43" s="88" t="e">
        <f>(GOZ*9*HA)/RM</f>
        <v>#DIV/0!</v>
      </c>
      <c r="AE43" s="88"/>
      <c r="AI43" s="16"/>
      <c r="AX43" s="82"/>
    </row>
    <row r="44" spans="2:50" x14ac:dyDescent="0.25">
      <c r="B44" s="38" t="s">
        <v>122</v>
      </c>
      <c r="C44" s="38" t="s">
        <v>6</v>
      </c>
      <c r="D44" s="50">
        <f>(2/3)*(GOL*GPO+GBL*GPB)+(1/4)*(SQRT((GOL+GAL+GDT)*(-GOL+GAL+GDT)*(GOL-GAL+GDT)*(GOL+GAL-GDT))+SQRT((GBL+GVL+GDT)*(-GBL+GVL+GDT)*(GBL-GVL+GDT)*(GBL+GVL-GDT)))</f>
        <v>0</v>
      </c>
      <c r="I44" s="38"/>
      <c r="K44" s="16"/>
      <c r="L44" s="18" t="s">
        <v>85</v>
      </c>
      <c r="M44" s="17" t="s">
        <v>6</v>
      </c>
      <c r="N44" s="25">
        <v>13.5</v>
      </c>
      <c r="P44" s="5"/>
      <c r="Q44" s="16"/>
      <c r="R44" s="17" t="s">
        <v>149</v>
      </c>
      <c r="S44" s="17" t="s">
        <v>6</v>
      </c>
      <c r="T44" s="25">
        <v>7</v>
      </c>
      <c r="U44" s="5"/>
      <c r="V44" s="5"/>
      <c r="W44" s="17" t="s">
        <v>101</v>
      </c>
      <c r="X44" s="17" t="s">
        <v>6</v>
      </c>
      <c r="Y44" s="17">
        <v>14</v>
      </c>
      <c r="Z44" s="17"/>
      <c r="AA44" s="16"/>
      <c r="AB44" s="17" t="s">
        <v>109</v>
      </c>
      <c r="AC44" s="17" t="s">
        <v>6</v>
      </c>
      <c r="AD44" s="25">
        <v>17.3</v>
      </c>
      <c r="AE44" s="17"/>
      <c r="AI44" s="16"/>
      <c r="AT44" s="94"/>
    </row>
    <row r="45" spans="2:50" x14ac:dyDescent="0.25">
      <c r="B45" s="17" t="s">
        <v>47</v>
      </c>
      <c r="C45" s="38" t="s">
        <v>6</v>
      </c>
      <c r="D45" s="95">
        <f>IF(GVL&lt;GVLmin2,GVLmin2/GVL,1)</f>
        <v>1</v>
      </c>
      <c r="I45" s="38"/>
      <c r="J45" s="86"/>
      <c r="K45" s="86"/>
      <c r="M45" s="17"/>
      <c r="N45" s="5"/>
      <c r="O45" s="25"/>
      <c r="P45" s="5"/>
      <c r="Q45" s="16"/>
      <c r="R45" s="17"/>
      <c r="S45" s="17"/>
      <c r="T45" s="17"/>
      <c r="U45" s="5"/>
      <c r="V45" s="5"/>
      <c r="W45" s="17"/>
      <c r="X45" s="17"/>
      <c r="Y45" s="17"/>
      <c r="Z45" s="17"/>
      <c r="AA45" s="16"/>
      <c r="AB45" s="17"/>
      <c r="AC45" s="17"/>
      <c r="AD45" s="17"/>
      <c r="AE45" s="17"/>
      <c r="AI45" s="16"/>
      <c r="AT45" s="94"/>
    </row>
    <row r="46" spans="2:50" x14ac:dyDescent="0.25">
      <c r="B46" s="17" t="s">
        <v>43</v>
      </c>
      <c r="C46" s="17" t="s">
        <v>6</v>
      </c>
      <c r="D46" s="95" t="e">
        <f>MAX(FGH,FOZ)</f>
        <v>#DIV/0!</v>
      </c>
      <c r="I46" s="38"/>
      <c r="J46" s="16"/>
      <c r="K46" s="86"/>
      <c r="L46" s="16" t="s">
        <v>89</v>
      </c>
      <c r="M46" s="17" t="s">
        <v>6</v>
      </c>
      <c r="N46" s="84" t="e">
        <f>1-(0.2856*(ZN-ZNS)^2)+(0.5648*(ZN-ZNS))</f>
        <v>#DIV/0!</v>
      </c>
      <c r="O46" s="30"/>
      <c r="P46" s="5"/>
      <c r="Q46" s="16"/>
      <c r="R46" s="16" t="s">
        <v>95</v>
      </c>
      <c r="S46" s="17" t="s">
        <v>6</v>
      </c>
      <c r="T46" s="67" t="e">
        <f>1+0.0499*(ZNL-ZNSL)^2+1.021*(ZNL-ZNSL)</f>
        <v>#DIV/0!</v>
      </c>
      <c r="U46" s="5"/>
      <c r="V46" s="5"/>
      <c r="W46" s="16" t="s">
        <v>102</v>
      </c>
      <c r="X46" s="17" t="s">
        <v>6</v>
      </c>
      <c r="Y46" s="84" t="e">
        <f>1-0.2978*(ZNM-ZNSM)^2+0.4364*(ZNM-ZNSM)</f>
        <v>#DIV/0!</v>
      </c>
      <c r="Z46" s="17"/>
      <c r="AA46" s="16"/>
      <c r="AB46" s="16" t="s">
        <v>110</v>
      </c>
      <c r="AC46" s="17" t="s">
        <v>6</v>
      </c>
      <c r="AD46" s="84" t="e">
        <f>1-0.1318*(ZNZ-ZNSZ)^2+0.223*(ZNZ-ZNSZ)</f>
        <v>#DIV/0!</v>
      </c>
      <c r="AE46" s="84"/>
      <c r="AI46" s="16"/>
      <c r="AT46" s="94"/>
    </row>
    <row r="47" spans="2:50" x14ac:dyDescent="0.25">
      <c r="B47" s="17" t="s">
        <v>45</v>
      </c>
      <c r="C47" s="38" t="s">
        <v>6</v>
      </c>
      <c r="D47" s="82" t="e">
        <f>(0.9*2*PI()*AG)/(1.8+SQRT(AG^2+4))</f>
        <v>#DIV/0!</v>
      </c>
      <c r="I47" s="38"/>
      <c r="J47" s="86"/>
      <c r="K47" s="86"/>
      <c r="L47" s="18" t="s">
        <v>87</v>
      </c>
      <c r="M47" s="17" t="s">
        <v>6</v>
      </c>
      <c r="N47" s="88" t="e">
        <f>SQRT(OZ)/SQRT(NO)</f>
        <v>#DIV/0!</v>
      </c>
      <c r="O47" s="87"/>
      <c r="P47" s="5"/>
      <c r="Q47" s="16"/>
      <c r="R47" s="17" t="s">
        <v>134</v>
      </c>
      <c r="S47" s="17" t="s">
        <v>6</v>
      </c>
      <c r="T47" s="85" t="e">
        <f>SQRT(OZL)/SQRT(NO)</f>
        <v>#DIV/0!</v>
      </c>
      <c r="U47" s="5"/>
      <c r="V47" s="5"/>
      <c r="W47" s="17" t="s">
        <v>137</v>
      </c>
      <c r="X47" s="17" t="s">
        <v>6</v>
      </c>
      <c r="Y47" s="85" t="e">
        <f>SQRT(OZM)/SQRT(NO)</f>
        <v>#DIV/0!</v>
      </c>
      <c r="Z47" s="17"/>
      <c r="AA47" s="16"/>
      <c r="AB47" s="17" t="s">
        <v>138</v>
      </c>
      <c r="AC47" s="17" t="s">
        <v>6</v>
      </c>
      <c r="AD47" s="85" t="e">
        <f>SQRT(OZZ)/SQRT(NO)</f>
        <v>#DIV/0!</v>
      </c>
      <c r="AE47" s="85"/>
      <c r="AI47" s="16"/>
    </row>
    <row r="48" spans="2:50" x14ac:dyDescent="0.25">
      <c r="B48" s="17" t="s">
        <v>46</v>
      </c>
      <c r="C48" s="17" t="s">
        <v>6</v>
      </c>
      <c r="D48" s="82" t="e">
        <f>(1.37*FGH*((3*GDT+GVL)/4)^2)/MG</f>
        <v>#DIV/0!</v>
      </c>
      <c r="I48" s="38"/>
      <c r="J48" s="86"/>
      <c r="K48" s="86"/>
      <c r="L48" s="18" t="s">
        <v>88</v>
      </c>
      <c r="M48" s="17" t="s">
        <v>6</v>
      </c>
      <c r="N48" s="21">
        <v>1.601</v>
      </c>
      <c r="O48" s="88"/>
      <c r="P48" s="5"/>
      <c r="Q48" s="16"/>
      <c r="R48" s="17" t="s">
        <v>96</v>
      </c>
      <c r="S48" s="17" t="s">
        <v>6</v>
      </c>
      <c r="T48" s="25">
        <v>1.599</v>
      </c>
      <c r="U48" s="5"/>
      <c r="V48" s="5"/>
      <c r="W48" s="17" t="s">
        <v>103</v>
      </c>
      <c r="X48" s="17" t="s">
        <v>6</v>
      </c>
      <c r="Y48" s="17">
        <v>1.599</v>
      </c>
      <c r="Z48" s="17"/>
      <c r="AA48" s="16"/>
      <c r="AB48" s="17" t="s">
        <v>111</v>
      </c>
      <c r="AC48" s="17" t="s">
        <v>6</v>
      </c>
      <c r="AD48" s="25">
        <v>1.599</v>
      </c>
      <c r="AE48" s="17"/>
      <c r="AI48" s="16"/>
    </row>
    <row r="49" spans="2:54" x14ac:dyDescent="0.25">
      <c r="B49" s="17" t="s">
        <v>80</v>
      </c>
      <c r="C49" s="17" t="s">
        <v>6</v>
      </c>
      <c r="D49" s="96" t="e">
        <f>MAX(FVH,FOZ)</f>
        <v>#DIV/0!</v>
      </c>
      <c r="I49" s="38"/>
      <c r="K49" s="16"/>
      <c r="M49" s="17"/>
      <c r="N49" s="5"/>
      <c r="O49" s="88"/>
      <c r="P49" s="5"/>
      <c r="Q49" s="16"/>
      <c r="R49" s="17"/>
      <c r="S49" s="17"/>
      <c r="T49" s="17"/>
      <c r="U49" s="5"/>
      <c r="V49" s="5"/>
      <c r="W49" s="17"/>
      <c r="X49" s="17"/>
      <c r="Y49" s="17"/>
      <c r="Z49" s="17"/>
      <c r="AA49" s="16"/>
      <c r="AB49" s="17"/>
      <c r="AC49" s="17"/>
      <c r="AD49" s="17"/>
      <c r="AE49" s="17"/>
      <c r="AI49" s="16"/>
    </row>
    <row r="50" spans="2:54" x14ac:dyDescent="0.25">
      <c r="B50" s="17" t="s">
        <v>82</v>
      </c>
      <c r="C50" s="38" t="s">
        <v>6</v>
      </c>
      <c r="D50" s="21">
        <f>IF(FAL&lt;FALmin,FALmin/FAL,1)</f>
        <v>1</v>
      </c>
      <c r="I50" s="38"/>
      <c r="J50" s="16"/>
      <c r="K50" s="16"/>
      <c r="L50" s="60" t="s">
        <v>25</v>
      </c>
      <c r="M50" s="17" t="s">
        <v>6</v>
      </c>
      <c r="N50" s="98" t="e">
        <f>FS</f>
        <v>#DIV/0!</v>
      </c>
      <c r="O50" s="85"/>
      <c r="P50" s="5"/>
      <c r="Q50" s="16"/>
      <c r="R50" s="97" t="s">
        <v>25</v>
      </c>
      <c r="S50" s="17" t="s">
        <v>6</v>
      </c>
      <c r="T50" s="98" t="e">
        <f>FS</f>
        <v>#DIV/0!</v>
      </c>
      <c r="U50" s="5"/>
      <c r="V50" s="5"/>
      <c r="W50" s="97" t="s">
        <v>25</v>
      </c>
      <c r="X50" s="17" t="s">
        <v>6</v>
      </c>
      <c r="Y50" s="98" t="e">
        <f>FS</f>
        <v>#DIV/0!</v>
      </c>
      <c r="Z50" s="17"/>
      <c r="AA50" s="16"/>
      <c r="AB50" s="97" t="s">
        <v>25</v>
      </c>
      <c r="AC50" s="17" t="s">
        <v>6</v>
      </c>
      <c r="AD50" s="98" t="e">
        <f>FS</f>
        <v>#DIV/0!</v>
      </c>
      <c r="AE50" s="17"/>
      <c r="AH50" s="99"/>
      <c r="AI50" s="16"/>
    </row>
    <row r="51" spans="2:54" x14ac:dyDescent="0.25">
      <c r="B51" s="38" t="s">
        <v>69</v>
      </c>
      <c r="C51" s="38" t="s">
        <v>6</v>
      </c>
      <c r="D51" s="25" t="e">
        <f>(0.9*2*PI()*AVV)/(1.8+SQRT(AVV^2+4))</f>
        <v>#DIV/0!</v>
      </c>
      <c r="N51" s="5"/>
      <c r="P51" s="5"/>
      <c r="Q51" s="5"/>
      <c r="R51" s="5"/>
      <c r="S51" s="5"/>
      <c r="T51" s="97"/>
      <c r="U51" s="5"/>
      <c r="V51" s="5"/>
      <c r="W51" s="5"/>
      <c r="X51" s="5"/>
      <c r="Y51" s="5"/>
      <c r="AA51" s="5"/>
      <c r="AB51" s="5"/>
      <c r="AC51" s="5"/>
      <c r="AD51" s="5"/>
    </row>
    <row r="52" spans="2:54" x14ac:dyDescent="0.25">
      <c r="B52" s="38" t="s">
        <v>70</v>
      </c>
      <c r="C52" s="17" t="s">
        <v>6</v>
      </c>
      <c r="D52" s="21" t="e">
        <f>1.5*FVH*(FVL*COS(ASIN(J/FVL)))^2/MV</f>
        <v>#DIV/0!</v>
      </c>
      <c r="J52" s="16"/>
      <c r="L52" s="60" t="s">
        <v>17</v>
      </c>
      <c r="M52" s="17" t="s">
        <v>6</v>
      </c>
      <c r="N52" s="98">
        <f>FRV</f>
        <v>0</v>
      </c>
      <c r="P52" s="5"/>
      <c r="Q52" s="5"/>
      <c r="R52" s="16" t="s">
        <v>18</v>
      </c>
      <c r="S52" s="17" t="s">
        <v>6</v>
      </c>
      <c r="T52" s="100">
        <f>FRVL</f>
        <v>0</v>
      </c>
      <c r="U52" s="5"/>
      <c r="V52" s="5"/>
      <c r="W52" s="16" t="s">
        <v>22</v>
      </c>
      <c r="X52" s="17" t="s">
        <v>6</v>
      </c>
      <c r="Y52" s="100">
        <f>FRVM</f>
        <v>0</v>
      </c>
      <c r="AA52" s="5"/>
      <c r="AB52" s="16" t="s">
        <v>91</v>
      </c>
      <c r="AC52" s="17" t="s">
        <v>6</v>
      </c>
      <c r="AD52" s="100">
        <f>FRVZ</f>
        <v>0</v>
      </c>
    </row>
    <row r="53" spans="2:54" x14ac:dyDescent="0.25">
      <c r="B53" s="17" t="s">
        <v>83</v>
      </c>
      <c r="C53" s="38" t="s">
        <v>6</v>
      </c>
      <c r="D53" s="21" t="e">
        <f>FV*FVO*MV</f>
        <v>#DIV/0!</v>
      </c>
      <c r="K53" s="86"/>
      <c r="L53" s="18" t="s">
        <v>90</v>
      </c>
      <c r="M53" s="17" t="s">
        <v>6</v>
      </c>
      <c r="N53" s="25">
        <v>1.7889999999999999</v>
      </c>
      <c r="P53" s="5"/>
      <c r="Q53" s="16"/>
      <c r="R53" s="17" t="s">
        <v>97</v>
      </c>
      <c r="S53" s="17" t="s">
        <v>6</v>
      </c>
      <c r="T53" s="25">
        <v>2.5150000000000001</v>
      </c>
      <c r="U53" s="5"/>
      <c r="V53" s="5"/>
      <c r="W53" s="17" t="s">
        <v>104</v>
      </c>
      <c r="X53" s="17" t="s">
        <v>6</v>
      </c>
      <c r="Y53" s="17">
        <v>1.825</v>
      </c>
      <c r="Z53" s="17"/>
      <c r="AA53" s="16"/>
      <c r="AB53" s="17" t="s">
        <v>112</v>
      </c>
      <c r="AC53" s="17" t="s">
        <v>6</v>
      </c>
      <c r="AD53" s="21">
        <v>1.8260000000000001</v>
      </c>
      <c r="AY53" s="101"/>
    </row>
    <row r="54" spans="2:54" x14ac:dyDescent="0.25">
      <c r="D54" s="5"/>
      <c r="J54" s="17"/>
      <c r="K54" s="17"/>
      <c r="N54" s="5"/>
      <c r="P54" s="5"/>
      <c r="Q54" s="5"/>
      <c r="R54" s="5"/>
      <c r="S54" s="5"/>
      <c r="T54" s="5"/>
      <c r="U54" s="5"/>
      <c r="V54" s="5"/>
      <c r="W54" s="5"/>
      <c r="X54" s="5"/>
      <c r="Y54" s="5"/>
      <c r="AA54" s="5"/>
      <c r="AB54" s="5"/>
      <c r="AC54" s="5"/>
      <c r="AD54" s="5"/>
      <c r="AE54" s="88"/>
      <c r="AI54" s="16"/>
      <c r="AY54" s="102"/>
      <c r="AZ54" s="103"/>
      <c r="BB54" s="103"/>
    </row>
    <row r="55" spans="2:54" x14ac:dyDescent="0.25">
      <c r="B55" s="18" t="s">
        <v>86</v>
      </c>
      <c r="C55" s="17"/>
      <c r="D55" s="87">
        <f>(MIN(LOA/10,1.6)+TC/2)/2+IZ/2</f>
        <v>0</v>
      </c>
      <c r="J55" s="16"/>
      <c r="K55" s="17"/>
      <c r="L55" s="16" t="s">
        <v>21</v>
      </c>
      <c r="M55" s="17" t="s">
        <v>6</v>
      </c>
      <c r="N55" s="16" t="e">
        <f>RA</f>
        <v>#DIV/0!</v>
      </c>
      <c r="O55" s="17"/>
      <c r="P55" s="5"/>
      <c r="Q55" s="16"/>
      <c r="R55" s="16" t="s">
        <v>105</v>
      </c>
      <c r="S55" s="17" t="s">
        <v>6</v>
      </c>
      <c r="T55" s="16" t="e">
        <f>FZDL*FZVL*FZNL*FS*FRVL*LEL</f>
        <v>#DIV/0!</v>
      </c>
      <c r="U55" s="5"/>
      <c r="V55" s="5"/>
      <c r="W55" s="16" t="s">
        <v>120</v>
      </c>
      <c r="X55" s="17" t="s">
        <v>6</v>
      </c>
      <c r="Y55" s="84" t="e">
        <f>Y36*FZDM*FZVM*FZNM*FS*FRVM</f>
        <v>#DIV/0!</v>
      </c>
      <c r="Z55" s="17"/>
      <c r="AA55" s="16"/>
      <c r="AB55" s="16" t="s">
        <v>113</v>
      </c>
      <c r="AC55" s="17" t="s">
        <v>6</v>
      </c>
      <c r="AD55" s="84" t="e">
        <f>AD36*FZDZ*FZVZ*FZNZ*FS*FRVZ</f>
        <v>#DIV/0!</v>
      </c>
      <c r="AE55" s="17"/>
      <c r="AI55" s="16"/>
    </row>
    <row r="56" spans="2:54" x14ac:dyDescent="0.25">
      <c r="B56" s="17" t="s">
        <v>71</v>
      </c>
      <c r="C56" s="17" t="s">
        <v>6</v>
      </c>
      <c r="D56" s="25">
        <f>0.5*KVL*KHL</f>
        <v>0</v>
      </c>
      <c r="J56" s="17"/>
      <c r="K56" s="17"/>
      <c r="M56" s="17"/>
      <c r="N56" s="5"/>
      <c r="P56" s="5"/>
      <c r="Q56" s="104"/>
      <c r="R56" s="17"/>
      <c r="S56" s="17"/>
      <c r="T56" s="5"/>
      <c r="U56" s="5"/>
      <c r="V56" s="5"/>
      <c r="W56" s="17"/>
      <c r="X56" s="17"/>
      <c r="Y56" s="5"/>
      <c r="Z56" s="104"/>
      <c r="AA56" s="17"/>
      <c r="AB56" s="17"/>
      <c r="AC56" s="17"/>
      <c r="AD56" s="5"/>
      <c r="AE56" s="51"/>
      <c r="AH56" s="99"/>
      <c r="AI56" s="16"/>
    </row>
    <row r="57" spans="2:54" x14ac:dyDescent="0.25">
      <c r="B57" s="17" t="s">
        <v>54</v>
      </c>
      <c r="C57" s="38" t="s">
        <v>6</v>
      </c>
      <c r="D57" s="25">
        <f>MAX(MV*0.45,IF(MAX(MK,0.5*KLB*KVL)&gt;1/6*KVL^2,(1/6*KVL^2+1.5*(MAX(MK,0.5*KLB*KVL)-1/6*KVL^2)),MAX(MK,0.5*KLB*KVL)))</f>
        <v>0</v>
      </c>
      <c r="H57" s="25"/>
      <c r="J57" s="17"/>
      <c r="K57" s="17"/>
      <c r="L57" s="4" t="s">
        <v>37</v>
      </c>
      <c r="M57" s="105" t="s">
        <v>6</v>
      </c>
      <c r="N57" s="5" t="e">
        <f>OZ</f>
        <v>#DIV/0!</v>
      </c>
      <c r="P57" s="5"/>
      <c r="Q57" s="5"/>
      <c r="R57" s="105" t="s">
        <v>142</v>
      </c>
      <c r="S57" s="105" t="s">
        <v>6</v>
      </c>
      <c r="T57" s="56" t="e">
        <f>(1.015*PG+FHL*TV)*1.005</f>
        <v>#DIV/0!</v>
      </c>
      <c r="U57" s="5"/>
      <c r="V57" s="5"/>
      <c r="W57" s="105" t="s">
        <v>141</v>
      </c>
      <c r="X57" s="105" t="s">
        <v>6</v>
      </c>
      <c r="Y57" s="56" t="e">
        <f>(1.015*PG+FHM*TV)*1.005</f>
        <v>#DIV/0!</v>
      </c>
      <c r="Z57" s="17"/>
      <c r="AA57" s="5"/>
      <c r="AB57" s="105" t="s">
        <v>140</v>
      </c>
      <c r="AC57" s="105" t="s">
        <v>6</v>
      </c>
      <c r="AD57" s="56" t="e">
        <f>(1.015*PG+AD58*TV)*1.005</f>
        <v>#DIV/0!</v>
      </c>
      <c r="AF57" s="5"/>
      <c r="AG57" s="5"/>
      <c r="AH57" s="5"/>
      <c r="AI57" s="17"/>
    </row>
    <row r="58" spans="2:54" x14ac:dyDescent="0.25">
      <c r="B58" s="17" t="s">
        <v>72</v>
      </c>
      <c r="C58" s="17" t="s">
        <v>6</v>
      </c>
      <c r="D58" s="85" t="e">
        <f>LWL/D^(1/3)</f>
        <v>#DIV/0!</v>
      </c>
      <c r="J58" s="17"/>
      <c r="K58" s="17"/>
      <c r="L58" s="38" t="s">
        <v>39</v>
      </c>
      <c r="M58" s="17" t="s">
        <v>6</v>
      </c>
      <c r="N58" s="44">
        <f>IF(MH&gt;2.4*MV_MK,1.17*(MH/MV_MK)/2.4,1.17)</f>
        <v>1.17</v>
      </c>
      <c r="P58" s="5"/>
      <c r="Q58" s="5"/>
      <c r="R58" s="17" t="s">
        <v>135</v>
      </c>
      <c r="S58" s="17" t="s">
        <v>6</v>
      </c>
      <c r="T58" s="21">
        <f>IF(MH&gt;2.4*MV_MK,1.2*(MH/MV_MK)/2.4,1.2)</f>
        <v>1.2</v>
      </c>
      <c r="U58" s="5"/>
      <c r="V58" s="5"/>
      <c r="W58" s="17" t="s">
        <v>136</v>
      </c>
      <c r="X58" s="17" t="s">
        <v>6</v>
      </c>
      <c r="Y58" s="87">
        <f>IF(MH&gt;2.4*MV_MK,1.15*(MH/MV_MK)/2.4,1.15)</f>
        <v>1.1499999999999999</v>
      </c>
      <c r="Z58" s="17"/>
      <c r="AA58" s="5"/>
      <c r="AB58" s="17" t="s">
        <v>139</v>
      </c>
      <c r="AC58" s="17" t="s">
        <v>6</v>
      </c>
      <c r="AD58" s="21">
        <f>IF(MH&gt;2.4*MV_MK,1.089*(MH/MV_MK)/2.4,1.089)</f>
        <v>1.089</v>
      </c>
      <c r="AE58" s="56"/>
      <c r="AI58" s="17"/>
    </row>
    <row r="59" spans="2:54" x14ac:dyDescent="0.25">
      <c r="B59" s="17" t="s">
        <v>116</v>
      </c>
      <c r="C59" s="38" t="s">
        <v>6</v>
      </c>
      <c r="D59" s="85" t="e">
        <f>SQRT(GOZ)/D^(1/3)</f>
        <v>#DIV/0!</v>
      </c>
      <c r="AE59" s="21"/>
      <c r="AI59" s="17"/>
    </row>
    <row r="60" spans="2:54" x14ac:dyDescent="0.25">
      <c r="B60" s="17" t="s">
        <v>117</v>
      </c>
      <c r="C60" s="38" t="s">
        <v>6</v>
      </c>
      <c r="D60" s="17" t="e">
        <f>SLG*GZV</f>
        <v>#DIV/0!</v>
      </c>
    </row>
    <row r="61" spans="2:54" ht="16.5" customHeight="1" x14ac:dyDescent="0.3">
      <c r="C61" s="17"/>
      <c r="D61" s="5"/>
      <c r="K61" s="48"/>
      <c r="L61" s="151" t="s">
        <v>181</v>
      </c>
      <c r="M61" s="152"/>
      <c r="N61" s="152"/>
      <c r="R61" s="106" t="s">
        <v>170</v>
      </c>
      <c r="S61" s="107"/>
      <c r="T61" s="107"/>
      <c r="U61" s="108"/>
      <c r="V61" s="108"/>
      <c r="W61" s="106" t="s">
        <v>171</v>
      </c>
      <c r="X61" s="107"/>
      <c r="Y61" s="107"/>
      <c r="AA61" s="5"/>
      <c r="AB61" s="106" t="s">
        <v>172</v>
      </c>
      <c r="AC61" s="107"/>
      <c r="AD61" s="107"/>
    </row>
    <row r="62" spans="2:54" x14ac:dyDescent="0.25">
      <c r="B62" s="17" t="s">
        <v>76</v>
      </c>
      <c r="C62" s="38" t="s">
        <v>6</v>
      </c>
      <c r="D62" s="17" t="e">
        <f>IF(GOZ&lt;GOZmin,GOZmin/GOZ,1)</f>
        <v>#DIV/0!</v>
      </c>
      <c r="I62" s="5"/>
      <c r="J62" s="17"/>
      <c r="K62" s="48"/>
      <c r="L62" s="16" t="s">
        <v>16</v>
      </c>
      <c r="M62" s="17"/>
      <c r="N62" s="162">
        <f>LE</f>
        <v>0</v>
      </c>
      <c r="O62" s="84"/>
      <c r="P62" s="5"/>
      <c r="Q62" s="17"/>
      <c r="R62" s="16" t="s">
        <v>128</v>
      </c>
      <c r="S62" s="5" t="s">
        <v>6</v>
      </c>
      <c r="T62" s="67">
        <f>(3*LWL+LR)/4</f>
        <v>0</v>
      </c>
      <c r="U62" s="5"/>
      <c r="V62" s="5"/>
      <c r="W62" s="16" t="s">
        <v>131</v>
      </c>
      <c r="X62" s="5" t="s">
        <v>6</v>
      </c>
      <c r="Y62" s="67">
        <f>(1.75*LWL+LR)/2.75</f>
        <v>0</v>
      </c>
      <c r="AA62" s="16"/>
      <c r="AB62" s="16" t="s">
        <v>147</v>
      </c>
      <c r="AC62" s="5" t="s">
        <v>6</v>
      </c>
      <c r="AD62" s="84">
        <f>LEZ</f>
        <v>0</v>
      </c>
    </row>
    <row r="63" spans="2:54" x14ac:dyDescent="0.25">
      <c r="B63" s="38" t="s">
        <v>74</v>
      </c>
      <c r="C63" s="17" t="s">
        <v>6</v>
      </c>
      <c r="D63" s="87" t="e">
        <f>SGmin/SLG</f>
        <v>#DIV/0!</v>
      </c>
      <c r="I63" s="5"/>
      <c r="J63" s="17"/>
      <c r="K63" s="17"/>
      <c r="L63" s="16" t="s">
        <v>34</v>
      </c>
      <c r="M63" s="17"/>
      <c r="N63" s="84" t="e">
        <f>1-(0.03791*(ZD_z-ZDS)^2)+(0.2139*(ZD_z-ZDS))</f>
        <v>#DIV/0!</v>
      </c>
      <c r="O63" s="84"/>
      <c r="P63" s="5"/>
      <c r="Q63" s="5"/>
      <c r="R63" s="16" t="s">
        <v>92</v>
      </c>
      <c r="S63" s="5" t="s">
        <v>6</v>
      </c>
      <c r="T63" s="67" t="e">
        <f>1-0.0596*(ZD_z-ZDSL)^2+0.2005*(ZD_z-ZDSL)</f>
        <v>#DIV/0!</v>
      </c>
      <c r="U63" s="5"/>
      <c r="V63" s="5"/>
      <c r="W63" s="16" t="s">
        <v>98</v>
      </c>
      <c r="X63" s="5" t="s">
        <v>6</v>
      </c>
      <c r="Y63" s="84" t="e">
        <f>1-0.07017*(ZD_z-ZDSM)^2+0.1809*(ZD_z-ZDSM)</f>
        <v>#DIV/0!</v>
      </c>
      <c r="AA63" s="16"/>
      <c r="AB63" s="16" t="s">
        <v>155</v>
      </c>
      <c r="AC63" s="5" t="s">
        <v>6</v>
      </c>
      <c r="AD63" s="66" t="e">
        <f>1-0.04895*(ZD_z-ZDSZ)^2+0.1267*(ZD_z-ZDSZ)</f>
        <v>#DIV/0!</v>
      </c>
      <c r="AH63" s="5"/>
      <c r="AI63" s="16"/>
    </row>
    <row r="64" spans="2:54" ht="18.75" x14ac:dyDescent="0.3">
      <c r="B64" s="38" t="s">
        <v>75</v>
      </c>
      <c r="C64" s="38" t="s">
        <v>6</v>
      </c>
      <c r="D64" s="59">
        <f>-0.067*L^2+2.226*L-1.395</f>
        <v>-1.395</v>
      </c>
      <c r="I64" s="5"/>
      <c r="J64" s="17"/>
      <c r="K64" s="81"/>
      <c r="L64" s="18" t="s">
        <v>157</v>
      </c>
      <c r="M64" s="17"/>
      <c r="N64" s="88" t="e">
        <f>SQRT(OZ_z)/(D^(1/3))</f>
        <v>#DIV/0!</v>
      </c>
      <c r="O64" s="88"/>
      <c r="P64" s="5"/>
      <c r="Q64" s="5"/>
      <c r="R64" s="97"/>
      <c r="S64" s="5"/>
      <c r="T64" s="5"/>
      <c r="U64" s="5"/>
      <c r="V64" s="5"/>
      <c r="W64" s="5"/>
      <c r="X64" s="5"/>
      <c r="Y64" s="5"/>
      <c r="AA64" s="5"/>
      <c r="AB64" s="5"/>
      <c r="AC64" s="5"/>
      <c r="AD64" s="5"/>
      <c r="AE64" s="67"/>
      <c r="AH64" s="17"/>
      <c r="AI64" s="16"/>
      <c r="AM64" s="5"/>
      <c r="AN64" s="5"/>
      <c r="AO64" s="5"/>
      <c r="AP64" s="5"/>
    </row>
    <row r="65" spans="2:51" ht="18.75" x14ac:dyDescent="0.3">
      <c r="D65" s="5"/>
      <c r="I65" s="5"/>
      <c r="J65" s="81"/>
      <c r="K65" s="25"/>
      <c r="L65" s="90" t="s">
        <v>84</v>
      </c>
      <c r="M65" s="17"/>
      <c r="N65" s="84" t="e">
        <f>FZV</f>
        <v>#DIV/0!</v>
      </c>
      <c r="O65" s="84"/>
      <c r="P65" s="5"/>
      <c r="Q65" s="5"/>
      <c r="R65" s="16" t="s">
        <v>94</v>
      </c>
      <c r="S65" s="5" t="s">
        <v>6</v>
      </c>
      <c r="T65" s="92" t="e">
        <f>FZVL</f>
        <v>#DIV/0!</v>
      </c>
      <c r="U65" s="5"/>
      <c r="V65" s="5"/>
      <c r="W65" s="16" t="s">
        <v>100</v>
      </c>
      <c r="X65" s="5" t="s">
        <v>6</v>
      </c>
      <c r="Y65" s="66" t="e">
        <f>FZVM</f>
        <v>#DIV/0!</v>
      </c>
      <c r="AA65" s="16"/>
      <c r="AB65" s="16" t="s">
        <v>108</v>
      </c>
      <c r="AC65" s="5" t="s">
        <v>6</v>
      </c>
      <c r="AD65" s="66" t="e">
        <f>FZVZ</f>
        <v>#DIV/0!</v>
      </c>
      <c r="AM65" s="17"/>
      <c r="AN65" s="5"/>
      <c r="AO65" s="5"/>
      <c r="AP65" s="17"/>
      <c r="AQ65" s="17"/>
      <c r="AR65" s="17"/>
      <c r="AS65" s="17"/>
      <c r="AT65" s="17"/>
      <c r="AU65" s="17"/>
      <c r="AV65" s="17"/>
    </row>
    <row r="66" spans="2:51" x14ac:dyDescent="0.25">
      <c r="B66" s="17" t="s">
        <v>79</v>
      </c>
      <c r="C66" s="38" t="s">
        <v>6</v>
      </c>
      <c r="D66" s="70">
        <f>0.9*HVL*HBH</f>
        <v>0</v>
      </c>
      <c r="I66" s="5"/>
      <c r="J66" s="48"/>
      <c r="K66" s="25"/>
      <c r="L66" s="16" t="s">
        <v>89</v>
      </c>
      <c r="M66" s="17"/>
      <c r="N66" s="84" t="e">
        <f>1-(0.2856*(ZN_z-ZNS)^2)+(0.5648*(ZN_z-ZNS))</f>
        <v>#DIV/0!</v>
      </c>
      <c r="O66" s="84"/>
      <c r="P66" s="5"/>
      <c r="Q66" s="5"/>
      <c r="R66" s="16" t="s">
        <v>95</v>
      </c>
      <c r="S66" s="5" t="s">
        <v>6</v>
      </c>
      <c r="T66" s="67" t="e">
        <f>1-0.0449*(ZNL_z-ZNSL)^2+1.021*(ZNL_z-ZNSL)</f>
        <v>#DIV/0!</v>
      </c>
      <c r="U66" s="5"/>
      <c r="V66" s="5"/>
      <c r="W66" s="16" t="s">
        <v>102</v>
      </c>
      <c r="X66" s="5" t="s">
        <v>6</v>
      </c>
      <c r="Y66" s="66" t="e">
        <f>1-0.2978*(ZNM_z-ZNSM)^2+0.4364*(ZNM_z-ZNSM)</f>
        <v>#DIV/0!</v>
      </c>
      <c r="AA66" s="16"/>
      <c r="AB66" s="16" t="s">
        <v>110</v>
      </c>
      <c r="AC66" s="5" t="s">
        <v>6</v>
      </c>
      <c r="AD66" s="66" t="e">
        <f>1-0.1318*(ZNZ_z-ZNSZ)^2+0.223*(ZNZ_z-ZNSZ)</f>
        <v>#DIV/0!</v>
      </c>
      <c r="AE66" s="84"/>
      <c r="AH66" s="17"/>
      <c r="AI66" s="16"/>
      <c r="AM66" s="17"/>
      <c r="AN66" s="5"/>
      <c r="AO66" s="5"/>
      <c r="AP66" s="5"/>
      <c r="AQ66" s="17"/>
      <c r="AR66" s="17"/>
      <c r="AS66" s="17"/>
      <c r="AT66" s="17"/>
      <c r="AU66" s="17"/>
      <c r="AV66" s="17"/>
    </row>
    <row r="67" spans="2:51" ht="18.75" x14ac:dyDescent="0.3">
      <c r="B67" s="109" t="s">
        <v>124</v>
      </c>
      <c r="C67" s="17" t="s">
        <v>6</v>
      </c>
      <c r="D67" s="70">
        <f>2.4*(MV+MK)</f>
        <v>0</v>
      </c>
      <c r="E67" s="25"/>
      <c r="F67" s="25"/>
      <c r="G67" s="63"/>
      <c r="H67" s="25"/>
      <c r="I67" s="25"/>
      <c r="J67" s="17"/>
      <c r="K67" s="25"/>
      <c r="L67" s="18" t="s">
        <v>156</v>
      </c>
      <c r="M67" s="17"/>
      <c r="N67" s="85" t="e">
        <f>ZNZ_z</f>
        <v>#DIV/0!</v>
      </c>
      <c r="O67" s="85"/>
      <c r="P67" s="5"/>
      <c r="Q67" s="5"/>
      <c r="R67" s="17" t="s">
        <v>134</v>
      </c>
      <c r="S67" s="5" t="s">
        <v>6</v>
      </c>
      <c r="T67" s="85" t="e">
        <f>ZNZ_z</f>
        <v>#DIV/0!</v>
      </c>
      <c r="U67" s="5"/>
      <c r="V67" s="5"/>
      <c r="W67" s="17" t="s">
        <v>137</v>
      </c>
      <c r="X67" s="5" t="s">
        <v>6</v>
      </c>
      <c r="Y67" s="85" t="e">
        <f>ZNZ_z</f>
        <v>#DIV/0!</v>
      </c>
      <c r="Z67" s="81"/>
      <c r="AA67" s="16"/>
      <c r="AB67" s="18" t="s">
        <v>138</v>
      </c>
      <c r="AC67" s="5" t="s">
        <v>6</v>
      </c>
      <c r="AD67" s="85" t="e">
        <f>SQRT(OZ_z)/SQRT(NO)</f>
        <v>#DIV/0!</v>
      </c>
      <c r="AE67" s="66"/>
      <c r="AH67" s="17"/>
      <c r="AI67" s="16"/>
      <c r="AM67" s="17"/>
      <c r="AN67" s="17"/>
      <c r="AO67" s="17"/>
      <c r="AP67" s="5"/>
      <c r="AQ67" s="17"/>
      <c r="AR67" s="17"/>
      <c r="AS67" s="17"/>
      <c r="AT67" s="17"/>
      <c r="AU67" s="17"/>
      <c r="AV67" s="17"/>
      <c r="AW67" s="38"/>
      <c r="AX67" s="38"/>
    </row>
    <row r="68" spans="2:51" ht="18.75" x14ac:dyDescent="0.3">
      <c r="B68" s="38" t="s">
        <v>77</v>
      </c>
      <c r="C68" s="38" t="s">
        <v>6</v>
      </c>
      <c r="D68" s="25">
        <f>MV+MK</f>
        <v>0</v>
      </c>
      <c r="E68" s="25"/>
      <c r="F68" s="25"/>
      <c r="G68" s="63"/>
      <c r="H68" s="25"/>
      <c r="I68" s="25"/>
      <c r="J68" s="81"/>
      <c r="K68" s="25"/>
      <c r="L68" s="110" t="s">
        <v>17</v>
      </c>
      <c r="M68" s="17"/>
      <c r="N68" s="84">
        <f>FRV</f>
        <v>0</v>
      </c>
      <c r="O68" s="17"/>
      <c r="P68" s="5"/>
      <c r="Q68" s="5"/>
      <c r="R68" s="16" t="s">
        <v>18</v>
      </c>
      <c r="S68" s="5" t="s">
        <v>6</v>
      </c>
      <c r="T68" s="67">
        <f>FRVL</f>
        <v>0</v>
      </c>
      <c r="U68" s="5"/>
      <c r="V68" s="5"/>
      <c r="W68" s="16" t="s">
        <v>22</v>
      </c>
      <c r="X68" s="5" t="s">
        <v>6</v>
      </c>
      <c r="Y68" s="66">
        <f>+FRVM</f>
        <v>0</v>
      </c>
      <c r="AA68" s="16"/>
      <c r="AB68" s="16" t="s">
        <v>91</v>
      </c>
      <c r="AC68" s="5" t="s">
        <v>6</v>
      </c>
      <c r="AD68" s="66">
        <f>FRVZ</f>
        <v>0</v>
      </c>
      <c r="AE68" s="66"/>
      <c r="AH68" s="81"/>
      <c r="AI68" s="16"/>
      <c r="AM68" s="17"/>
      <c r="AN68" s="17"/>
      <c r="AO68" s="17"/>
      <c r="AP68" s="5"/>
      <c r="AQ68" s="17"/>
      <c r="AR68" s="17"/>
      <c r="AS68" s="17"/>
      <c r="AT68" s="17"/>
      <c r="AU68" s="17"/>
      <c r="AV68" s="17"/>
      <c r="AW68" s="38"/>
      <c r="AX68" s="38"/>
    </row>
    <row r="69" spans="2:51" x14ac:dyDescent="0.25">
      <c r="B69" s="25"/>
      <c r="C69" s="25"/>
      <c r="D69" s="25"/>
      <c r="E69" s="25"/>
      <c r="F69" s="25"/>
      <c r="G69" s="63"/>
      <c r="H69" s="25"/>
      <c r="I69" s="25"/>
      <c r="J69" s="25"/>
      <c r="K69" s="16"/>
      <c r="L69" s="16" t="s">
        <v>146</v>
      </c>
      <c r="M69" s="17"/>
      <c r="N69" s="92" t="e">
        <f>N62*N63*N65*N66*FS*N68</f>
        <v>#DIV/0!</v>
      </c>
      <c r="O69" s="84"/>
      <c r="P69" s="5"/>
      <c r="Q69" s="5"/>
      <c r="R69" s="16" t="s">
        <v>143</v>
      </c>
      <c r="S69" s="5" t="s">
        <v>6</v>
      </c>
      <c r="T69" s="67" t="e">
        <f>T63*FZVL*T66*FS*FRVL*T62</f>
        <v>#DIV/0!</v>
      </c>
      <c r="U69" s="5"/>
      <c r="V69" s="5"/>
      <c r="W69" s="16" t="s">
        <v>144</v>
      </c>
      <c r="X69" s="5" t="s">
        <v>6</v>
      </c>
      <c r="Y69" s="66" t="e">
        <f>Y62*Y63*FZVM*Y66*FS*FRVM</f>
        <v>#DIV/0!</v>
      </c>
      <c r="AA69" s="16"/>
      <c r="AB69" s="16" t="s">
        <v>145</v>
      </c>
      <c r="AC69" s="5" t="s">
        <v>6</v>
      </c>
      <c r="AD69" s="66" t="e">
        <f>AD62*AD63*FZVZ*AD66*FS*FRVZ</f>
        <v>#DIV/0!</v>
      </c>
      <c r="AE69" s="17"/>
      <c r="AH69" s="17"/>
      <c r="AI69" s="16"/>
      <c r="AM69" s="17"/>
      <c r="AN69" s="17"/>
      <c r="AO69" s="17"/>
      <c r="AP69" s="5"/>
      <c r="AQ69" s="17"/>
      <c r="AR69" s="17"/>
      <c r="AS69" s="17"/>
      <c r="AT69" s="17"/>
      <c r="AU69" s="17"/>
      <c r="AV69" s="17"/>
      <c r="AW69" s="38"/>
      <c r="AX69" s="38"/>
    </row>
    <row r="70" spans="2:51" x14ac:dyDescent="0.25">
      <c r="B70" s="18" t="s">
        <v>185</v>
      </c>
      <c r="C70" s="25" t="s">
        <v>6</v>
      </c>
      <c r="D70" s="7" t="e">
        <f>((GVL ^ 2) + (GBL ^ 2) - (GDT^ 2)) / (2 * GVL* GBL)</f>
        <v>#DIV/0!</v>
      </c>
      <c r="E70" s="25"/>
      <c r="F70" s="25"/>
      <c r="G70" s="63"/>
      <c r="H70" s="25"/>
      <c r="I70" s="25"/>
      <c r="J70" s="25"/>
      <c r="N70" s="5"/>
      <c r="O70" s="84"/>
      <c r="P70" s="5"/>
      <c r="Q70" s="5"/>
      <c r="R70" s="5"/>
      <c r="S70" s="5"/>
      <c r="T70" s="5"/>
      <c r="U70" s="5"/>
      <c r="V70" s="5"/>
      <c r="W70" s="5"/>
      <c r="X70" s="5"/>
      <c r="Y70" s="5"/>
      <c r="AA70" s="5"/>
      <c r="AB70" s="5"/>
      <c r="AC70" s="5"/>
      <c r="AD70" s="5"/>
      <c r="AE70" s="66"/>
      <c r="AH70" s="17"/>
      <c r="AI70" s="16"/>
      <c r="AM70" s="17"/>
      <c r="AN70" s="17"/>
      <c r="AO70" s="17"/>
      <c r="AP70" s="5"/>
      <c r="AQ70" s="38"/>
      <c r="AR70" s="38"/>
      <c r="AS70" s="38"/>
      <c r="AT70" s="17"/>
      <c r="AU70" s="38"/>
      <c r="AV70" s="38"/>
      <c r="AW70" s="38"/>
      <c r="AX70" s="38"/>
    </row>
    <row r="71" spans="2:51" x14ac:dyDescent="0.25">
      <c r="B71" s="86"/>
      <c r="C71" s="17"/>
      <c r="D71" s="86"/>
      <c r="E71" s="25"/>
      <c r="F71" s="25"/>
      <c r="G71" s="63"/>
      <c r="H71" s="25"/>
      <c r="I71" s="25"/>
      <c r="J71" s="25"/>
      <c r="N71" s="5"/>
      <c r="O71" s="92"/>
      <c r="P71" s="5"/>
      <c r="Q71" s="5"/>
      <c r="R71" s="111" t="s">
        <v>175</v>
      </c>
      <c r="S71" s="5" t="s">
        <v>6</v>
      </c>
      <c r="T71" s="56" t="e">
        <f>OZ_z</f>
        <v>#DIV/0!</v>
      </c>
      <c r="U71" s="5"/>
      <c r="V71" s="5"/>
      <c r="W71" s="111" t="s">
        <v>173</v>
      </c>
      <c r="X71" s="5" t="s">
        <v>6</v>
      </c>
      <c r="Y71" s="56" t="e">
        <f>OZ_z</f>
        <v>#DIV/0!</v>
      </c>
      <c r="AA71" s="5"/>
      <c r="AB71" s="111" t="s">
        <v>153</v>
      </c>
      <c r="AC71" s="5" t="s">
        <v>6</v>
      </c>
      <c r="AD71" s="56" t="e">
        <f>(1.015*PG+1*TV)*1.005</f>
        <v>#DIV/0!</v>
      </c>
      <c r="AE71" s="66"/>
      <c r="AH71" s="17"/>
      <c r="AI71" s="17"/>
      <c r="AM71" s="5"/>
      <c r="AN71" s="17"/>
      <c r="AO71" s="17"/>
      <c r="AP71" s="5"/>
      <c r="AQ71" s="38"/>
      <c r="AR71" s="38"/>
      <c r="AS71" s="38"/>
      <c r="AT71" s="17"/>
      <c r="AU71" s="38"/>
      <c r="AV71" s="38"/>
      <c r="AW71" s="38"/>
      <c r="AX71" s="38"/>
    </row>
    <row r="72" spans="2:51" x14ac:dyDescent="0.25">
      <c r="C72" s="17"/>
      <c r="D72" s="86"/>
      <c r="E72" s="25"/>
      <c r="F72" s="25"/>
      <c r="G72" s="63"/>
      <c r="H72" s="25"/>
      <c r="I72" s="25"/>
      <c r="J72" s="25"/>
      <c r="N72" s="5"/>
      <c r="P72" s="5"/>
      <c r="Q72" s="5"/>
      <c r="R72" s="21" t="s">
        <v>176</v>
      </c>
      <c r="S72" s="5" t="s">
        <v>6</v>
      </c>
      <c r="T72" s="21">
        <v>1</v>
      </c>
      <c r="U72" s="5"/>
      <c r="V72" s="5"/>
      <c r="W72" s="21" t="s">
        <v>174</v>
      </c>
      <c r="X72" s="5" t="s">
        <v>6</v>
      </c>
      <c r="Y72" s="21">
        <v>1</v>
      </c>
      <c r="AA72" s="16"/>
      <c r="AB72" s="21" t="s">
        <v>154</v>
      </c>
      <c r="AC72" s="5" t="s">
        <v>6</v>
      </c>
      <c r="AD72" s="21">
        <v>1</v>
      </c>
      <c r="AH72" s="17"/>
      <c r="AI72" s="17"/>
      <c r="AM72" s="17"/>
      <c r="AN72" s="17"/>
      <c r="AO72" s="17"/>
      <c r="AP72" s="5"/>
      <c r="AQ72" s="38"/>
      <c r="AR72" s="38"/>
      <c r="AS72" s="38"/>
      <c r="AT72" s="17"/>
      <c r="AU72" s="38"/>
      <c r="AV72" s="38"/>
      <c r="AW72" s="38"/>
      <c r="AX72" s="38"/>
    </row>
    <row r="73" spans="2:51" ht="9" customHeight="1" thickBot="1" x14ac:dyDescent="0.3">
      <c r="B73" s="41"/>
      <c r="C73" s="11"/>
      <c r="D73" s="126"/>
      <c r="E73" s="11"/>
      <c r="F73" s="11"/>
      <c r="G73" s="127"/>
      <c r="H73" s="11"/>
      <c r="I73" s="11"/>
      <c r="J73" s="41"/>
      <c r="K73" s="41"/>
      <c r="L73" s="128"/>
      <c r="M73" s="41"/>
      <c r="N73" s="41"/>
      <c r="O73" s="11"/>
      <c r="P73" s="41"/>
      <c r="Q73" s="41"/>
      <c r="R73" s="41"/>
      <c r="S73" s="41"/>
      <c r="T73" s="41"/>
      <c r="U73" s="41"/>
      <c r="V73" s="41"/>
      <c r="W73" s="41"/>
      <c r="X73" s="41"/>
      <c r="Y73" s="41"/>
      <c r="Z73" s="11"/>
      <c r="AA73" s="41"/>
      <c r="AB73" s="41"/>
      <c r="AC73" s="41"/>
      <c r="AD73" s="41"/>
      <c r="AE73" s="129"/>
      <c r="AF73" s="41"/>
      <c r="AG73" s="41"/>
      <c r="AH73" s="11"/>
      <c r="AI73" s="17"/>
      <c r="AM73" s="5"/>
      <c r="AN73" s="5"/>
      <c r="AO73" s="5"/>
      <c r="AP73" s="5"/>
      <c r="AQ73" s="38"/>
      <c r="AR73" s="38"/>
      <c r="AS73" s="38"/>
      <c r="AT73" s="17"/>
      <c r="AU73" s="38"/>
      <c r="AV73" s="38"/>
      <c r="AW73" s="38"/>
      <c r="AX73" s="38"/>
    </row>
    <row r="74" spans="2:51" x14ac:dyDescent="0.25">
      <c r="B74" s="17"/>
      <c r="C74" s="17"/>
      <c r="D74" s="86"/>
      <c r="E74" s="25"/>
      <c r="F74" s="25"/>
      <c r="G74" s="63"/>
      <c r="H74" s="25"/>
      <c r="I74" s="25"/>
      <c r="J74" s="25"/>
      <c r="AM74" s="17"/>
      <c r="AN74" s="17"/>
      <c r="AO74" s="17"/>
      <c r="AP74" s="17"/>
      <c r="AQ74" s="17"/>
      <c r="AR74" s="38"/>
      <c r="AS74" s="38"/>
      <c r="AT74" s="17"/>
      <c r="AU74" s="38"/>
      <c r="AV74" s="38"/>
      <c r="AW74" s="38"/>
      <c r="AX74" s="38"/>
    </row>
    <row r="75" spans="2:51" x14ac:dyDescent="0.25">
      <c r="B75" s="17"/>
      <c r="C75" s="17"/>
      <c r="D75" s="86"/>
      <c r="Y75" s="5"/>
      <c r="AM75" s="38"/>
      <c r="AN75" s="38"/>
      <c r="AO75" s="38"/>
      <c r="AP75" s="38"/>
      <c r="AQ75" s="38"/>
      <c r="AR75" s="38"/>
      <c r="AS75" s="38"/>
      <c r="AT75" s="38"/>
      <c r="AU75" s="38"/>
      <c r="AV75" s="38"/>
      <c r="AW75" s="38"/>
      <c r="AX75" s="38"/>
    </row>
    <row r="76" spans="2:51" x14ac:dyDescent="0.25">
      <c r="AB76" s="17"/>
      <c r="AC76" s="38"/>
      <c r="AD76" s="38"/>
      <c r="AE76" s="17"/>
      <c r="AF76" s="38"/>
      <c r="AG76" s="38"/>
      <c r="AH76" s="38"/>
      <c r="AI76" s="38"/>
      <c r="AJ76" s="38"/>
      <c r="AK76" s="38"/>
      <c r="AL76" s="38"/>
      <c r="AM76" s="38"/>
      <c r="AN76" s="38"/>
      <c r="AO76" s="38"/>
      <c r="AP76" s="38"/>
      <c r="AQ76" s="38"/>
      <c r="AR76" s="38"/>
      <c r="AS76" s="38"/>
      <c r="AT76" s="38"/>
      <c r="AU76" s="38"/>
      <c r="AV76" s="38"/>
      <c r="AW76" s="38"/>
      <c r="AX76" s="38"/>
      <c r="AY76" s="38"/>
    </row>
    <row r="77" spans="2:51" x14ac:dyDescent="0.25">
      <c r="AB77" s="17"/>
      <c r="AF77" s="38"/>
      <c r="AG77" s="38"/>
      <c r="AH77" s="38"/>
      <c r="AI77" s="38"/>
      <c r="AJ77" s="38"/>
      <c r="AK77" s="38"/>
      <c r="AL77" s="38"/>
      <c r="AM77" s="38"/>
      <c r="AN77" s="38"/>
      <c r="AO77" s="38"/>
      <c r="AP77" s="38"/>
      <c r="AQ77" s="38"/>
      <c r="AR77" s="38"/>
      <c r="AS77" s="38"/>
      <c r="AT77" s="38"/>
      <c r="AU77" s="38"/>
      <c r="AV77" s="38"/>
      <c r="AW77" s="38"/>
      <c r="AX77" s="38"/>
      <c r="AY77" s="38"/>
    </row>
    <row r="78" spans="2:51" x14ac:dyDescent="0.25">
      <c r="AQ78" s="5"/>
    </row>
    <row r="79" spans="2:51" x14ac:dyDescent="0.25">
      <c r="AQ79" s="5"/>
    </row>
    <row r="80" spans="2:51" x14ac:dyDescent="0.25">
      <c r="AQ80" s="5"/>
    </row>
  </sheetData>
  <sheetProtection sheet="1" objects="1" scenarios="1"/>
  <customSheetViews>
    <customSheetView guid="{D833AB8F-9EBD-4397-BB38-BA2F376A880C}" showPageBreaks="1" showGridLines="0" printArea="1">
      <selection activeCell="L78" sqref="L78"/>
      <pageMargins left="0.7" right="0.7" top="0.75" bottom="0.75" header="0.3" footer="0.3"/>
      <pageSetup paperSize="9" orientation="portrait" horizontalDpi="4294967292" verticalDpi="4294967292"/>
    </customSheetView>
  </customSheetViews>
  <mergeCells count="16">
    <mergeCell ref="AB35:AD35"/>
    <mergeCell ref="M5:N5"/>
    <mergeCell ref="M6:N6"/>
    <mergeCell ref="R6:S6"/>
    <mergeCell ref="AC4:AF4"/>
    <mergeCell ref="B33:AH33"/>
    <mergeCell ref="J2:Y2"/>
    <mergeCell ref="L61:N61"/>
    <mergeCell ref="Y5:Z5"/>
    <mergeCell ref="Y6:Z6"/>
    <mergeCell ref="L35:N35"/>
    <mergeCell ref="R35:T35"/>
    <mergeCell ref="R5:S5"/>
    <mergeCell ref="U5:W5"/>
    <mergeCell ref="U6:W6"/>
    <mergeCell ref="W35:Y35"/>
  </mergeCells>
  <conditionalFormatting sqref="J11">
    <cfRule type="cellIs" dxfId="17" priority="20" operator="notBetween">
      <formula>$L$11</formula>
      <formula>$N$11</formula>
    </cfRule>
  </conditionalFormatting>
  <conditionalFormatting sqref="J12">
    <cfRule type="cellIs" dxfId="16" priority="17" operator="notBetween">
      <formula>$L$12</formula>
      <formula>$N$12</formula>
    </cfRule>
  </conditionalFormatting>
  <conditionalFormatting sqref="J13">
    <cfRule type="cellIs" dxfId="15" priority="16" operator="notBetween">
      <formula>$L$13</formula>
      <formula>$N$13</formula>
    </cfRule>
  </conditionalFormatting>
  <conditionalFormatting sqref="T13">
    <cfRule type="cellIs" dxfId="14" priority="15" operator="lessThan">
      <formula>$W$13</formula>
    </cfRule>
  </conditionalFormatting>
  <conditionalFormatting sqref="AD9">
    <cfRule type="cellIs" dxfId="13" priority="14" operator="greaterThan">
      <formula>$AH$9</formula>
    </cfRule>
  </conditionalFormatting>
  <conditionalFormatting sqref="AD10">
    <cfRule type="cellIs" dxfId="12" priority="13" operator="greaterThan">
      <formula>$AH$10</formula>
    </cfRule>
  </conditionalFormatting>
  <conditionalFormatting sqref="AD13">
    <cfRule type="cellIs" dxfId="11" priority="12" operator="greaterThan">
      <formula>$AH$13</formula>
    </cfRule>
  </conditionalFormatting>
  <conditionalFormatting sqref="AD18">
    <cfRule type="cellIs" dxfId="10" priority="11" operator="notBetween">
      <formula>$AF$18</formula>
      <formula>$AH$18</formula>
    </cfRule>
  </conditionalFormatting>
  <conditionalFormatting sqref="N20">
    <cfRule type="cellIs" dxfId="9" priority="10" operator="lessThan">
      <formula>$R$20</formula>
    </cfRule>
  </conditionalFormatting>
  <conditionalFormatting sqref="N22">
    <cfRule type="cellIs" dxfId="8" priority="9" operator="greaterThan">
      <formula>$R$22</formula>
    </cfRule>
  </conditionalFormatting>
  <conditionalFormatting sqref="N26">
    <cfRule type="cellIs" dxfId="7" priority="8" operator="greaterThan">
      <formula>$R$26</formula>
    </cfRule>
  </conditionalFormatting>
  <conditionalFormatting sqref="N27">
    <cfRule type="cellIs" dxfId="6" priority="7" operator="notBetween">
      <formula>$P$27</formula>
      <formula>$R$27</formula>
    </cfRule>
  </conditionalFormatting>
  <conditionalFormatting sqref="N25">
    <cfRule type="cellIs" dxfId="5" priority="6" operator="greaterThan">
      <formula>$R$25</formula>
    </cfRule>
  </conditionalFormatting>
  <conditionalFormatting sqref="N30">
    <cfRule type="cellIs" dxfId="4" priority="5" operator="greaterThan">
      <formula>$R$30</formula>
    </cfRule>
  </conditionalFormatting>
  <conditionalFormatting sqref="D20">
    <cfRule type="cellIs" dxfId="3" priority="4" operator="notBetween">
      <formula>$F$20</formula>
      <formula>$H$20</formula>
    </cfRule>
  </conditionalFormatting>
  <conditionalFormatting sqref="D19">
    <cfRule type="cellIs" dxfId="2" priority="3" operator="greaterThan">
      <formula>$H$19</formula>
    </cfRule>
  </conditionalFormatting>
  <conditionalFormatting sqref="D21">
    <cfRule type="cellIs" dxfId="1" priority="2" operator="lessThan">
      <formula>$H$21</formula>
    </cfRule>
  </conditionalFormatting>
  <conditionalFormatting sqref="D22">
    <cfRule type="cellIs" dxfId="0" priority="1" operator="lessThan">
      <formula>$H$22</formula>
    </cfRule>
  </conditionalFormatting>
  <hyperlinks>
    <hyperlink ref="AC3" r:id="rId1" xr:uid="{00000000-0004-0000-0000-000000000000}"/>
  </hyperlinks>
  <pageMargins left="0.75" right="0.75" top="1" bottom="1" header="0.5" footer="0.5"/>
  <pageSetup paperSize="9" orientation="portrait"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69"/>
  <sheetViews>
    <sheetView workbookViewId="0">
      <selection activeCell="C3" sqref="C3"/>
    </sheetView>
  </sheetViews>
  <sheetFormatPr defaultColWidth="8.875" defaultRowHeight="15.75" x14ac:dyDescent="0.25"/>
  <cols>
    <col min="1" max="2" width="8.875" style="138"/>
    <col min="3" max="3" width="83.5" style="138" customWidth="1"/>
    <col min="4" max="16384" width="8.875" style="138"/>
  </cols>
  <sheetData>
    <row r="2" spans="2:3" ht="24" customHeight="1" x14ac:dyDescent="0.25">
      <c r="B2" s="160" t="s">
        <v>191</v>
      </c>
      <c r="C2" s="160"/>
    </row>
    <row r="3" spans="2:3" x14ac:dyDescent="0.25">
      <c r="B3" s="139" t="s">
        <v>0</v>
      </c>
      <c r="C3" s="139" t="s">
        <v>192</v>
      </c>
    </row>
    <row r="4" spans="2:3" x14ac:dyDescent="0.25">
      <c r="B4" s="139" t="s">
        <v>1</v>
      </c>
      <c r="C4" s="139" t="s">
        <v>193</v>
      </c>
    </row>
    <row r="5" spans="2:3" x14ac:dyDescent="0.25">
      <c r="B5" s="139" t="s">
        <v>2</v>
      </c>
      <c r="C5" s="139" t="s">
        <v>194</v>
      </c>
    </row>
    <row r="6" spans="2:3" x14ac:dyDescent="0.25">
      <c r="B6" s="139" t="s">
        <v>15</v>
      </c>
      <c r="C6" s="139" t="s">
        <v>195</v>
      </c>
    </row>
    <row r="7" spans="2:3" x14ac:dyDescent="0.25">
      <c r="B7" s="139" t="s">
        <v>4</v>
      </c>
      <c r="C7" s="139" t="s">
        <v>196</v>
      </c>
    </row>
    <row r="8" spans="2:3" ht="24" x14ac:dyDescent="0.25">
      <c r="B8" s="139" t="s">
        <v>3</v>
      </c>
      <c r="C8" s="139" t="s">
        <v>197</v>
      </c>
    </row>
    <row r="9" spans="2:3" ht="24" x14ac:dyDescent="0.25">
      <c r="B9" s="139" t="s">
        <v>10</v>
      </c>
      <c r="C9" s="139" t="s">
        <v>198</v>
      </c>
    </row>
    <row r="10" spans="2:3" x14ac:dyDescent="0.25">
      <c r="B10" s="139" t="s">
        <v>8</v>
      </c>
      <c r="C10" s="139" t="s">
        <v>199</v>
      </c>
    </row>
    <row r="11" spans="2:3" x14ac:dyDescent="0.25">
      <c r="B11" s="139" t="s">
        <v>9</v>
      </c>
      <c r="C11" s="139" t="s">
        <v>200</v>
      </c>
    </row>
    <row r="12" spans="2:3" x14ac:dyDescent="0.25">
      <c r="B12" s="139" t="s">
        <v>7</v>
      </c>
      <c r="C12" s="139" t="s">
        <v>201</v>
      </c>
    </row>
    <row r="13" spans="2:3" ht="24" x14ac:dyDescent="0.25">
      <c r="B13" s="139" t="s">
        <v>13</v>
      </c>
      <c r="C13" s="139" t="s">
        <v>202</v>
      </c>
    </row>
    <row r="14" spans="2:3" ht="24" x14ac:dyDescent="0.25">
      <c r="B14" s="139" t="s">
        <v>14</v>
      </c>
      <c r="C14" s="139" t="s">
        <v>203</v>
      </c>
    </row>
    <row r="15" spans="2:3" x14ac:dyDescent="0.25">
      <c r="B15" s="139" t="s">
        <v>11</v>
      </c>
      <c r="C15" s="139" t="s">
        <v>204</v>
      </c>
    </row>
    <row r="16" spans="2:3" x14ac:dyDescent="0.25">
      <c r="B16" s="139" t="s">
        <v>5</v>
      </c>
      <c r="C16" s="142" t="s">
        <v>205</v>
      </c>
    </row>
    <row r="17" spans="2:3" x14ac:dyDescent="0.25">
      <c r="B17" s="139" t="s">
        <v>19</v>
      </c>
      <c r="C17" s="139" t="s">
        <v>255</v>
      </c>
    </row>
    <row r="18" spans="2:3" x14ac:dyDescent="0.25">
      <c r="B18" s="139" t="s">
        <v>20</v>
      </c>
      <c r="C18" s="142" t="s">
        <v>206</v>
      </c>
    </row>
    <row r="19" spans="2:3" x14ac:dyDescent="0.25">
      <c r="B19" s="139" t="s">
        <v>24</v>
      </c>
      <c r="C19" s="139" t="s">
        <v>207</v>
      </c>
    </row>
    <row r="20" spans="2:3" x14ac:dyDescent="0.25">
      <c r="B20" s="139" t="s">
        <v>23</v>
      </c>
      <c r="C20" s="139" t="s">
        <v>208</v>
      </c>
    </row>
    <row r="21" spans="2:3" ht="24" x14ac:dyDescent="0.25">
      <c r="B21" s="139" t="s">
        <v>30</v>
      </c>
      <c r="C21" s="139" t="s">
        <v>209</v>
      </c>
    </row>
    <row r="22" spans="2:3" ht="36" x14ac:dyDescent="0.25">
      <c r="B22" s="139" t="s">
        <v>31</v>
      </c>
      <c r="C22" s="139" t="s">
        <v>210</v>
      </c>
    </row>
    <row r="23" spans="2:3" x14ac:dyDescent="0.25">
      <c r="B23" s="139" t="s">
        <v>78</v>
      </c>
      <c r="C23" s="139" t="s">
        <v>211</v>
      </c>
    </row>
    <row r="24" spans="2:3" x14ac:dyDescent="0.25">
      <c r="B24" s="140"/>
    </row>
    <row r="25" spans="2:3" x14ac:dyDescent="0.25">
      <c r="B25" s="160" t="s">
        <v>212</v>
      </c>
      <c r="C25" s="160"/>
    </row>
    <row r="26" spans="2:3" x14ac:dyDescent="0.25">
      <c r="B26" s="139" t="s">
        <v>55</v>
      </c>
      <c r="C26" s="139" t="s">
        <v>213</v>
      </c>
    </row>
    <row r="27" spans="2:3" x14ac:dyDescent="0.25">
      <c r="B27" s="139" t="s">
        <v>37</v>
      </c>
      <c r="C27" s="139" t="s">
        <v>214</v>
      </c>
    </row>
    <row r="28" spans="2:3" x14ac:dyDescent="0.25">
      <c r="B28" s="139" t="s">
        <v>40</v>
      </c>
      <c r="C28" s="139" t="s">
        <v>215</v>
      </c>
    </row>
    <row r="29" spans="2:3" x14ac:dyDescent="0.25">
      <c r="B29" s="139" t="s">
        <v>62</v>
      </c>
      <c r="C29" s="139" t="s">
        <v>216</v>
      </c>
    </row>
    <row r="30" spans="2:3" x14ac:dyDescent="0.25">
      <c r="B30" s="139" t="s">
        <v>61</v>
      </c>
      <c r="C30" s="139" t="s">
        <v>217</v>
      </c>
    </row>
    <row r="31" spans="2:3" x14ac:dyDescent="0.25">
      <c r="B31" s="139" t="s">
        <v>54</v>
      </c>
      <c r="C31" s="139" t="s">
        <v>218</v>
      </c>
    </row>
    <row r="32" spans="2:3" x14ac:dyDescent="0.25">
      <c r="B32" s="139" t="s">
        <v>21</v>
      </c>
      <c r="C32" s="139" t="s">
        <v>219</v>
      </c>
    </row>
    <row r="33" spans="2:3" x14ac:dyDescent="0.25">
      <c r="B33" s="139" t="s">
        <v>12</v>
      </c>
      <c r="C33" s="139" t="s">
        <v>220</v>
      </c>
    </row>
    <row r="34" spans="2:3" x14ac:dyDescent="0.25">
      <c r="B34" s="139" t="s">
        <v>25</v>
      </c>
      <c r="C34" s="139" t="s">
        <v>221</v>
      </c>
    </row>
    <row r="35" spans="2:3" x14ac:dyDescent="0.25">
      <c r="B35" s="139" t="s">
        <v>16</v>
      </c>
      <c r="C35" s="139" t="s">
        <v>222</v>
      </c>
    </row>
    <row r="36" spans="2:3" x14ac:dyDescent="0.25">
      <c r="B36" s="139" t="s">
        <v>17</v>
      </c>
      <c r="C36" s="139" t="s">
        <v>223</v>
      </c>
    </row>
    <row r="37" spans="2:3" x14ac:dyDescent="0.25">
      <c r="B37" s="139" t="s">
        <v>18</v>
      </c>
      <c r="C37" s="139" t="s">
        <v>224</v>
      </c>
    </row>
    <row r="38" spans="2:3" x14ac:dyDescent="0.25">
      <c r="B38" s="139" t="s">
        <v>22</v>
      </c>
      <c r="C38" s="139" t="s">
        <v>225</v>
      </c>
    </row>
    <row r="39" spans="2:3" x14ac:dyDescent="0.25">
      <c r="B39" s="139" t="s">
        <v>226</v>
      </c>
      <c r="C39" s="139" t="s">
        <v>227</v>
      </c>
    </row>
    <row r="40" spans="2:3" x14ac:dyDescent="0.25">
      <c r="B40" s="140"/>
    </row>
    <row r="41" spans="2:3" x14ac:dyDescent="0.25">
      <c r="B41" s="160" t="s">
        <v>228</v>
      </c>
      <c r="C41" s="160"/>
    </row>
    <row r="42" spans="2:3" x14ac:dyDescent="0.25">
      <c r="B42" s="139" t="s">
        <v>49</v>
      </c>
      <c r="C42" s="139" t="s">
        <v>229</v>
      </c>
    </row>
    <row r="43" spans="2:3" x14ac:dyDescent="0.25">
      <c r="B43" s="139" t="s">
        <v>50</v>
      </c>
      <c r="C43" s="139" t="s">
        <v>230</v>
      </c>
    </row>
    <row r="44" spans="2:3" x14ac:dyDescent="0.25">
      <c r="B44" s="139" t="s">
        <v>52</v>
      </c>
      <c r="C44" s="139" t="s">
        <v>231</v>
      </c>
    </row>
    <row r="45" spans="2:3" x14ac:dyDescent="0.25">
      <c r="B45" s="139" t="s">
        <v>51</v>
      </c>
      <c r="C45" s="139" t="s">
        <v>232</v>
      </c>
    </row>
    <row r="46" spans="2:3" x14ac:dyDescent="0.25">
      <c r="B46" s="139" t="s">
        <v>125</v>
      </c>
      <c r="C46" s="139" t="s">
        <v>233</v>
      </c>
    </row>
    <row r="47" spans="2:3" x14ac:dyDescent="0.25">
      <c r="B47" s="139" t="s">
        <v>63</v>
      </c>
      <c r="C47" s="139" t="s">
        <v>234</v>
      </c>
    </row>
    <row r="48" spans="2:3" x14ac:dyDescent="0.25">
      <c r="B48" s="139" t="s">
        <v>48</v>
      </c>
      <c r="C48" s="139" t="s">
        <v>235</v>
      </c>
    </row>
    <row r="49" spans="2:3" x14ac:dyDescent="0.25">
      <c r="B49" s="139" t="s">
        <v>64</v>
      </c>
      <c r="C49" s="139" t="s">
        <v>236</v>
      </c>
    </row>
    <row r="50" spans="2:3" x14ac:dyDescent="0.25">
      <c r="B50" s="139" t="s">
        <v>44</v>
      </c>
      <c r="C50" s="141" t="s">
        <v>237</v>
      </c>
    </row>
    <row r="51" spans="2:3" x14ac:dyDescent="0.25">
      <c r="B51" s="139" t="s">
        <v>42</v>
      </c>
      <c r="C51" s="139" t="s">
        <v>238</v>
      </c>
    </row>
    <row r="52" spans="2:3" x14ac:dyDescent="0.25">
      <c r="B52" s="139" t="s">
        <v>38</v>
      </c>
      <c r="C52" s="139" t="s">
        <v>239</v>
      </c>
    </row>
    <row r="53" spans="2:3" x14ac:dyDescent="0.25">
      <c r="B53" s="139"/>
      <c r="C53" s="139"/>
    </row>
    <row r="54" spans="2:3" x14ac:dyDescent="0.25">
      <c r="B54" s="160" t="s">
        <v>240</v>
      </c>
      <c r="C54" s="160"/>
    </row>
    <row r="55" spans="2:3" x14ac:dyDescent="0.25">
      <c r="B55" s="139" t="s">
        <v>57</v>
      </c>
      <c r="C55" s="139" t="s">
        <v>241</v>
      </c>
    </row>
    <row r="56" spans="2:3" x14ac:dyDescent="0.25">
      <c r="B56" s="139" t="s">
        <v>58</v>
      </c>
      <c r="C56" s="142" t="s">
        <v>242</v>
      </c>
    </row>
    <row r="57" spans="2:3" x14ac:dyDescent="0.25">
      <c r="B57" s="139" t="s">
        <v>56</v>
      </c>
      <c r="C57" s="139" t="s">
        <v>243</v>
      </c>
    </row>
    <row r="58" spans="2:3" x14ac:dyDescent="0.25">
      <c r="B58" s="139" t="s">
        <v>65</v>
      </c>
      <c r="C58" s="142" t="s">
        <v>244</v>
      </c>
    </row>
    <row r="59" spans="2:3" x14ac:dyDescent="0.25">
      <c r="B59" s="139"/>
      <c r="C59" s="142"/>
    </row>
    <row r="60" spans="2:3" x14ac:dyDescent="0.25">
      <c r="B60" s="160" t="s">
        <v>245</v>
      </c>
      <c r="C60" s="160"/>
    </row>
    <row r="61" spans="2:3" x14ac:dyDescent="0.25">
      <c r="B61" s="139" t="s">
        <v>68</v>
      </c>
      <c r="C61" s="139" t="s">
        <v>246</v>
      </c>
    </row>
    <row r="62" spans="2:3" x14ac:dyDescent="0.25">
      <c r="B62" s="139" t="s">
        <v>66</v>
      </c>
      <c r="C62" s="139" t="s">
        <v>247</v>
      </c>
    </row>
    <row r="63" spans="2:3" x14ac:dyDescent="0.25">
      <c r="B63" s="139" t="s">
        <v>67</v>
      </c>
      <c r="C63" s="139" t="s">
        <v>248</v>
      </c>
    </row>
    <row r="64" spans="2:3" x14ac:dyDescent="0.25">
      <c r="B64" s="142" t="s">
        <v>123</v>
      </c>
      <c r="C64" s="142" t="s">
        <v>249</v>
      </c>
    </row>
    <row r="65" spans="2:3" x14ac:dyDescent="0.25">
      <c r="B65" s="142"/>
      <c r="C65" s="142"/>
    </row>
    <row r="66" spans="2:3" x14ac:dyDescent="0.25">
      <c r="B66" s="160" t="s">
        <v>250</v>
      </c>
      <c r="C66" s="160"/>
    </row>
    <row r="67" spans="2:3" x14ac:dyDescent="0.25">
      <c r="B67" s="139" t="s">
        <v>59</v>
      </c>
      <c r="C67" s="139" t="s">
        <v>251</v>
      </c>
    </row>
    <row r="68" spans="2:3" x14ac:dyDescent="0.25">
      <c r="B68" s="139" t="s">
        <v>60</v>
      </c>
      <c r="C68" s="139" t="s">
        <v>252</v>
      </c>
    </row>
    <row r="69" spans="2:3" x14ac:dyDescent="0.25">
      <c r="B69" s="139" t="s">
        <v>253</v>
      </c>
      <c r="C69" s="139" t="s">
        <v>254</v>
      </c>
    </row>
  </sheetData>
  <mergeCells count="6">
    <mergeCell ref="B60:C60"/>
    <mergeCell ref="B66:C66"/>
    <mergeCell ref="B2:C2"/>
    <mergeCell ref="B25:C25"/>
    <mergeCell ref="B41:C41"/>
    <mergeCell ref="B54:C54"/>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158</vt:i4>
      </vt:variant>
    </vt:vector>
  </HeadingPairs>
  <TitlesOfParts>
    <vt:vector size="160" baseType="lpstr">
      <vt:lpstr>Rekenmodel</vt:lpstr>
      <vt:lpstr>Afkortingen</vt:lpstr>
      <vt:lpstr>Rekenmodel!Afdrukbereik</vt:lpstr>
      <vt:lpstr>Rekenmodel!AG</vt:lpstr>
      <vt:lpstr>Rekenmodel!Am</vt:lpstr>
      <vt:lpstr>Rekenmodel!AVV</vt:lpstr>
      <vt:lpstr>Rekenmodel!Awv</vt:lpstr>
      <vt:lpstr>Rekenmodel!BW</vt:lpstr>
      <vt:lpstr>Rekenmodel!BWL</vt:lpstr>
      <vt:lpstr>Rekenmodel!Cp</vt:lpstr>
      <vt:lpstr>Rekenmodel!CS</vt:lpstr>
      <vt:lpstr>CW</vt:lpstr>
      <vt:lpstr>Rekenmodel!Cwv</vt:lpstr>
      <vt:lpstr>Rekenmodel!D</vt:lpstr>
      <vt:lpstr>Rekenmodel!DC</vt:lpstr>
      <vt:lpstr>Rekenmodel!DS</vt:lpstr>
      <vt:lpstr>Rekenmodel!FAL</vt:lpstr>
      <vt:lpstr>Rekenmodel!FALmin</vt:lpstr>
      <vt:lpstr>Rekenmodel!FG</vt:lpstr>
      <vt:lpstr>Rekenmodel!FGH</vt:lpstr>
      <vt:lpstr>Rekenmodel!FGO</vt:lpstr>
      <vt:lpstr>Rekenmodel!FH</vt:lpstr>
      <vt:lpstr>FHL</vt:lpstr>
      <vt:lpstr>FHM</vt:lpstr>
      <vt:lpstr>FHZ</vt:lpstr>
      <vt:lpstr>Rekenmodel!FOL</vt:lpstr>
      <vt:lpstr>Rekenmodel!FOZ</vt:lpstr>
      <vt:lpstr>Rekenmodel!FRV</vt:lpstr>
      <vt:lpstr>Rekenmodel!FRVL</vt:lpstr>
      <vt:lpstr>Rekenmodel!FRVM</vt:lpstr>
      <vt:lpstr>Rekenmodel!FRVZ</vt:lpstr>
      <vt:lpstr>Rekenmodel!FS</vt:lpstr>
      <vt:lpstr>Rekenmodel!FV</vt:lpstr>
      <vt:lpstr>Rekenmodel!FVH</vt:lpstr>
      <vt:lpstr>Rekenmodel!FVL</vt:lpstr>
      <vt:lpstr>Rekenmodel!FVO</vt:lpstr>
      <vt:lpstr>Rekenmodel!FZD</vt:lpstr>
      <vt:lpstr>Rekenmodel!FZDL</vt:lpstr>
      <vt:lpstr>Rekenmodel!FZDM</vt:lpstr>
      <vt:lpstr>Rekenmodel!FZDZ</vt:lpstr>
      <vt:lpstr>FZDZ_z</vt:lpstr>
      <vt:lpstr>FZDZV</vt:lpstr>
      <vt:lpstr>FZDZz</vt:lpstr>
      <vt:lpstr>Rekenmodel!FZN</vt:lpstr>
      <vt:lpstr>Rekenmodel!FZNL</vt:lpstr>
      <vt:lpstr>Rekenmodel!FZNM</vt:lpstr>
      <vt:lpstr>Rekenmodel!FZNZ</vt:lpstr>
      <vt:lpstr>Rekenmodel!FZV</vt:lpstr>
      <vt:lpstr>Rekenmodel!FZVL</vt:lpstr>
      <vt:lpstr>Rekenmodel!FZVM</vt:lpstr>
      <vt:lpstr>Rekenmodel!FZVZ</vt:lpstr>
      <vt:lpstr>Rekenmodel!GAL</vt:lpstr>
      <vt:lpstr>Rekenmodel!GBL</vt:lpstr>
      <vt:lpstr>Rekenmodel!GBP</vt:lpstr>
      <vt:lpstr>Rekenmodel!GDK</vt:lpstr>
      <vt:lpstr>Rekenmodel!GDT</vt:lpstr>
      <vt:lpstr>Rekenmodel!GOL</vt:lpstr>
      <vt:lpstr>Rekenmodel!GOZ</vt:lpstr>
      <vt:lpstr>Rekenmodel!GOZmin</vt:lpstr>
      <vt:lpstr>GPB</vt:lpstr>
      <vt:lpstr>Rekenmodel!GPO</vt:lpstr>
      <vt:lpstr>Rekenmodel!GVL</vt:lpstr>
      <vt:lpstr>GVLmin1</vt:lpstr>
      <vt:lpstr>Rekenmodel!GVLmin2</vt:lpstr>
      <vt:lpstr>GZV</vt:lpstr>
      <vt:lpstr>Rekenmodel!GZVmin</vt:lpstr>
      <vt:lpstr>Rekenmodel!HA</vt:lpstr>
      <vt:lpstr>Rekenmodel!HBH</vt:lpstr>
      <vt:lpstr>Rekenmodel!HOL</vt:lpstr>
      <vt:lpstr>Rekenmodel!HVL</vt:lpstr>
      <vt:lpstr>Rekenmodel!IZ</vt:lpstr>
      <vt:lpstr>Rekenmodel!J</vt:lpstr>
      <vt:lpstr>Rekenmodel!KHL</vt:lpstr>
      <vt:lpstr>Rekenmodel!KL</vt:lpstr>
      <vt:lpstr>Rekenmodel!KLB</vt:lpstr>
      <vt:lpstr>Rekenmodel!KVL</vt:lpstr>
      <vt:lpstr>Rekenmodel!L</vt:lpstr>
      <vt:lpstr>Rekenmodel!LE</vt:lpstr>
      <vt:lpstr>LEL</vt:lpstr>
      <vt:lpstr>LEM</vt:lpstr>
      <vt:lpstr>LEZ</vt:lpstr>
      <vt:lpstr>Rekenmodel!LOA</vt:lpstr>
      <vt:lpstr>Rekenmodel!LR</vt:lpstr>
      <vt:lpstr>Rekenmodel!LWL</vt:lpstr>
      <vt:lpstr>Rekenmodel!MG</vt:lpstr>
      <vt:lpstr>MGK</vt:lpstr>
      <vt:lpstr>MGT</vt:lpstr>
      <vt:lpstr>Rekenmodel!MH</vt:lpstr>
      <vt:lpstr>Rekenmodel!MK</vt:lpstr>
      <vt:lpstr>Rekenmodel!MV</vt:lpstr>
      <vt:lpstr>Rekenmodel!MV_MK</vt:lpstr>
      <vt:lpstr>Rekenmodel!NO</vt:lpstr>
      <vt:lpstr>Rekenmodel!OA</vt:lpstr>
      <vt:lpstr>Rekenmodel!OV</vt:lpstr>
      <vt:lpstr>Rekenmodel!OZ</vt:lpstr>
      <vt:lpstr>OZ_z</vt:lpstr>
      <vt:lpstr>OZL</vt:lpstr>
      <vt:lpstr>OZM</vt:lpstr>
      <vt:lpstr>OZV</vt:lpstr>
      <vt:lpstr>OZZ</vt:lpstr>
      <vt:lpstr>Rekenmodel!PG</vt:lpstr>
      <vt:lpstr>Rekenmodel!PV</vt:lpstr>
      <vt:lpstr>RA</vt:lpstr>
      <vt:lpstr>Rekenmodel!RG</vt:lpstr>
      <vt:lpstr>Rekenmodel!RL</vt:lpstr>
      <vt:lpstr>RL_z</vt:lpstr>
      <vt:lpstr>Rekenmodel!RM</vt:lpstr>
      <vt:lpstr>RM_z</vt:lpstr>
      <vt:lpstr>Rekenmodel!RMeen</vt:lpstr>
      <vt:lpstr>Rekenmodel!RMM</vt:lpstr>
      <vt:lpstr>Rekenmodel!RV</vt:lpstr>
      <vt:lpstr>Rekenmodel!RVS</vt:lpstr>
      <vt:lpstr>Rekenmodel!RVSL</vt:lpstr>
      <vt:lpstr>Rekenmodel!RVSM</vt:lpstr>
      <vt:lpstr>Rekenmodel!RVSZ</vt:lpstr>
      <vt:lpstr>Rekenmodel!RZ</vt:lpstr>
      <vt:lpstr>RZ_z</vt:lpstr>
      <vt:lpstr>S</vt:lpstr>
      <vt:lpstr>Rekenmodel!SGmin</vt:lpstr>
      <vt:lpstr>Rekenmodel!SLG</vt:lpstr>
      <vt:lpstr>Rekenmodel!SLGeen</vt:lpstr>
      <vt:lpstr>Rekenmodel!SLGmin</vt:lpstr>
      <vt:lpstr>Rekenmodel!TC</vt:lpstr>
      <vt:lpstr>Rekenmodel!TH</vt:lpstr>
      <vt:lpstr>THL</vt:lpstr>
      <vt:lpstr>THLS</vt:lpstr>
      <vt:lpstr>THM</vt:lpstr>
      <vt:lpstr>Rekenmodel!THS</vt:lpstr>
      <vt:lpstr>Rekenmodel!THSL</vt:lpstr>
      <vt:lpstr>Rekenmodel!THSM</vt:lpstr>
      <vt:lpstr>Rekenmodel!THSZ</vt:lpstr>
      <vt:lpstr>THZ</vt:lpstr>
      <vt:lpstr>Rekenmodel!TP</vt:lpstr>
      <vt:lpstr>Rekenmodel!TV</vt:lpstr>
      <vt:lpstr>TVFL</vt:lpstr>
      <vt:lpstr>TVFM</vt:lpstr>
      <vt:lpstr>TVFZ</vt:lpstr>
      <vt:lpstr>Rekenmodel!VBA</vt:lpstr>
      <vt:lpstr>Rekenmodel!VBV</vt:lpstr>
      <vt:lpstr>Rekenmodel!ZD</vt:lpstr>
      <vt:lpstr>ZD_z</vt:lpstr>
      <vt:lpstr>ZDL</vt:lpstr>
      <vt:lpstr>ZDM</vt:lpstr>
      <vt:lpstr>Rekenmodel!ZDS</vt:lpstr>
      <vt:lpstr>Rekenmodel!ZDSL</vt:lpstr>
      <vt:lpstr>Rekenmodel!ZDSM</vt:lpstr>
      <vt:lpstr>Rekenmodel!ZDSZ</vt:lpstr>
      <vt:lpstr>ZDZ</vt:lpstr>
      <vt:lpstr>Rekenmodel!ZN</vt:lpstr>
      <vt:lpstr>ZN_z</vt:lpstr>
      <vt:lpstr>ZNL</vt:lpstr>
      <vt:lpstr>ZNL_z</vt:lpstr>
      <vt:lpstr>ZNM</vt:lpstr>
      <vt:lpstr>ZNM_z</vt:lpstr>
      <vt:lpstr>Rekenmodel!ZNS</vt:lpstr>
      <vt:lpstr>Rekenmodel!ZNSL</vt:lpstr>
      <vt:lpstr>Rekenmodel!ZNSM</vt:lpstr>
      <vt:lpstr>Rekenmodel!ZNSZ</vt:lpstr>
      <vt:lpstr>ZNZ</vt:lpstr>
      <vt:lpstr>ZNZ_z</vt:lpstr>
    </vt:vector>
  </TitlesOfParts>
  <Company>TUD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Pieter Pluimers</dc:creator>
  <cp:lastModifiedBy>Pieter Pluimers</cp:lastModifiedBy>
  <cp:lastPrinted>2012-06-03T20:18:03Z</cp:lastPrinted>
  <dcterms:created xsi:type="dcterms:W3CDTF">2012-06-03T14:01:11Z</dcterms:created>
  <dcterms:modified xsi:type="dcterms:W3CDTF">2018-05-01T20:39:20Z</dcterms:modified>
</cp:coreProperties>
</file>